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55" yWindow="-45" windowWidth="13905" windowHeight="8190" tabRatio="823"/>
  </bookViews>
  <sheets>
    <sheet name="QA" sheetId="13" r:id="rId1"/>
    <sheet name="Notes" sheetId="9" r:id="rId2"/>
    <sheet name="Cars" sheetId="7" r:id="rId3"/>
    <sheet name="LGVs" sheetId="8" r:id="rId4"/>
    <sheet name="HGVs &amp; Buses" sheetId="3" r:id="rId5"/>
    <sheet name="Motorcycles" sheetId="11" r:id="rId6"/>
    <sheet name="Emis Degradation" sheetId="12" r:id="rId7"/>
  </sheets>
  <externalReferences>
    <externalReference r:id="rId8"/>
  </externalReferences>
  <definedNames>
    <definedName name="_xlnm._FilterDatabase" localSheetId="2" hidden="1">Cars!$A$8:$Q$43</definedName>
    <definedName name="_xlnm._FilterDatabase" localSheetId="4" hidden="1">'HGVs &amp; Buses'!$A$8:$P$161</definedName>
    <definedName name="_xlnm._FilterDatabase" localSheetId="3" hidden="1">LGVs!$A$8:$Q$8</definedName>
    <definedName name="_xlnm._FilterDatabase" localSheetId="5" hidden="1">Motorcycles!$A$8:$Q$8</definedName>
    <definedName name="alpha">'HGVs &amp; Buses'!$F:$F</definedName>
    <definedName name="beta">'HGVs &amp; Buses'!$G:$G</definedName>
    <definedName name="ceta">'HGVs &amp; Buses'!$H:$H</definedName>
    <definedName name="delta">'HGVs &amp; Buses'!$I:$I</definedName>
    <definedName name="epsilon">'HGVs &amp; Buses'!$J:$J</definedName>
    <definedName name="mileage" localSheetId="6">'Emis Degradation'!$L$54</definedName>
    <definedName name="mileage">'[1]Emis Degradation'!$L$38</definedName>
    <definedName name="mileage2">'Emis Degradation'!$L$65</definedName>
    <definedName name="speed" localSheetId="6">'Emis Degradation'!$L$55</definedName>
    <definedName name="speed" localSheetId="1">'[1]Emis Degradation'!$L$39</definedName>
    <definedName name="speed">'HGVs &amp; Buses'!$O:$O</definedName>
    <definedName name="speed2">'Emis Degradation'!$L$66</definedName>
  </definedNames>
  <calcPr calcId="144525"/>
</workbook>
</file>

<file path=xl/calcChain.xml><?xml version="1.0" encoding="utf-8"?>
<calcChain xmlns="http://schemas.openxmlformats.org/spreadsheetml/2006/main">
  <c r="P66" i="12" l="1"/>
  <c r="P67" i="12"/>
  <c r="Q66" i="12"/>
  <c r="P65" i="12"/>
  <c r="Q65" i="12"/>
  <c r="Q67" i="12" s="1"/>
  <c r="Q68" i="12" s="1"/>
  <c r="P68" i="12" l="1"/>
  <c r="L68" i="12" s="1"/>
  <c r="P54" i="12"/>
  <c r="Q54" i="12"/>
  <c r="P55" i="12"/>
  <c r="Q55" i="12"/>
  <c r="P56" i="12"/>
  <c r="P10" i="11"/>
  <c r="P11" i="11"/>
  <c r="Q11" i="11" s="1"/>
  <c r="P12" i="11"/>
  <c r="Q12" i="11" s="1"/>
  <c r="P13" i="11"/>
  <c r="Q13" i="11" s="1"/>
  <c r="P14" i="11"/>
  <c r="P15" i="11"/>
  <c r="Q15" i="11" s="1"/>
  <c r="P16" i="11"/>
  <c r="Q16" i="11" s="1"/>
  <c r="P17" i="11"/>
  <c r="P18" i="11"/>
  <c r="Q18" i="11" s="1"/>
  <c r="P19" i="11"/>
  <c r="P20" i="11"/>
  <c r="Q20" i="11" s="1"/>
  <c r="P21" i="11"/>
  <c r="Q21" i="11" s="1"/>
  <c r="P22" i="11"/>
  <c r="Q22" i="11" s="1"/>
  <c r="P23" i="11"/>
  <c r="Q23" i="11" s="1"/>
  <c r="P24" i="11"/>
  <c r="Q24" i="11" s="1"/>
  <c r="P25" i="11"/>
  <c r="Q25" i="11" s="1"/>
  <c r="P26" i="11"/>
  <c r="Q26" i="11" s="1"/>
  <c r="P27" i="11"/>
  <c r="Q27" i="11" s="1"/>
  <c r="P28" i="11"/>
  <c r="Q28" i="11" s="1"/>
  <c r="P29" i="11"/>
  <c r="Q29" i="11" s="1"/>
  <c r="P30" i="11"/>
  <c r="Q30" i="11" s="1"/>
  <c r="P31" i="11"/>
  <c r="Q31" i="11" s="1"/>
  <c r="P32" i="11"/>
  <c r="Q32" i="11" s="1"/>
  <c r="P33" i="11"/>
  <c r="P34" i="11"/>
  <c r="Q34" i="11" s="1"/>
  <c r="P35" i="11"/>
  <c r="Q35" i="11" s="1"/>
  <c r="P36" i="11"/>
  <c r="Q36" i="11" s="1"/>
  <c r="P9" i="11"/>
  <c r="Q9" i="11" s="1"/>
  <c r="O117" i="3"/>
  <c r="Q10" i="11"/>
  <c r="Q14" i="11"/>
  <c r="Q17" i="11"/>
  <c r="Q19" i="11"/>
  <c r="Q33" i="11"/>
  <c r="O10" i="3"/>
  <c r="O11" i="3"/>
  <c r="O12" i="3"/>
  <c r="O13" i="3"/>
  <c r="O14" i="3"/>
  <c r="O15" i="3"/>
  <c r="P15" i="3" s="1"/>
  <c r="O16" i="3"/>
  <c r="P16" i="3" s="1"/>
  <c r="O17" i="3"/>
  <c r="O18" i="3"/>
  <c r="O19" i="3"/>
  <c r="P19" i="3" s="1"/>
  <c r="O20" i="3"/>
  <c r="O21" i="3"/>
  <c r="O22" i="3"/>
  <c r="O23" i="3"/>
  <c r="P23" i="3" s="1"/>
  <c r="O24" i="3"/>
  <c r="O25" i="3"/>
  <c r="O26" i="3"/>
  <c r="O27" i="3"/>
  <c r="P27" i="3" s="1"/>
  <c r="O28" i="3"/>
  <c r="P28" i="3" s="1"/>
  <c r="O29" i="3"/>
  <c r="O30" i="3"/>
  <c r="O31" i="3"/>
  <c r="P31" i="3" s="1"/>
  <c r="O32" i="3"/>
  <c r="O33" i="3"/>
  <c r="O34" i="3"/>
  <c r="O35" i="3"/>
  <c r="P35" i="3" s="1"/>
  <c r="O36" i="3"/>
  <c r="P36" i="3" s="1"/>
  <c r="O37" i="3"/>
  <c r="O38" i="3"/>
  <c r="O39" i="3"/>
  <c r="O40" i="3"/>
  <c r="P40" i="3" s="1"/>
  <c r="O41" i="3"/>
  <c r="O42" i="3"/>
  <c r="O43" i="3"/>
  <c r="P43" i="3" s="1"/>
  <c r="O44" i="3"/>
  <c r="P44" i="3" s="1"/>
  <c r="O45" i="3"/>
  <c r="O46" i="3"/>
  <c r="O47" i="3"/>
  <c r="P47" i="3" s="1"/>
  <c r="O48" i="3"/>
  <c r="P48" i="3" s="1"/>
  <c r="O49" i="3"/>
  <c r="O50" i="3"/>
  <c r="O51" i="3"/>
  <c r="O52" i="3"/>
  <c r="O53" i="3"/>
  <c r="O54" i="3"/>
  <c r="O55" i="3"/>
  <c r="P55" i="3" s="1"/>
  <c r="O56" i="3"/>
  <c r="P56" i="3" s="1"/>
  <c r="O57" i="3"/>
  <c r="O58" i="3"/>
  <c r="O59" i="3"/>
  <c r="P59" i="3" s="1"/>
  <c r="O60" i="3"/>
  <c r="P60" i="3" s="1"/>
  <c r="O61" i="3"/>
  <c r="O62" i="3"/>
  <c r="O63" i="3"/>
  <c r="P63" i="3" s="1"/>
  <c r="O64" i="3"/>
  <c r="P64" i="3" s="1"/>
  <c r="O65" i="3"/>
  <c r="O66" i="3"/>
  <c r="O67" i="3"/>
  <c r="P67" i="3" s="1"/>
  <c r="O68" i="3"/>
  <c r="P68" i="3" s="1"/>
  <c r="O69" i="3"/>
  <c r="O70" i="3"/>
  <c r="O71" i="3"/>
  <c r="P71" i="3" s="1"/>
  <c r="O72" i="3"/>
  <c r="P72" i="3" s="1"/>
  <c r="O73" i="3"/>
  <c r="O74" i="3"/>
  <c r="O75" i="3"/>
  <c r="P75" i="3" s="1"/>
  <c r="O76" i="3"/>
  <c r="P76" i="3" s="1"/>
  <c r="O77" i="3"/>
  <c r="O78" i="3"/>
  <c r="O79" i="3"/>
  <c r="P79" i="3" s="1"/>
  <c r="O80" i="3"/>
  <c r="P80" i="3" s="1"/>
  <c r="O81" i="3"/>
  <c r="O82" i="3"/>
  <c r="O83" i="3"/>
  <c r="P83" i="3" s="1"/>
  <c r="O84" i="3"/>
  <c r="P84" i="3" s="1"/>
  <c r="O85" i="3"/>
  <c r="O86" i="3"/>
  <c r="O87" i="3"/>
  <c r="P87" i="3" s="1"/>
  <c r="O88" i="3"/>
  <c r="P88" i="3" s="1"/>
  <c r="O89" i="3"/>
  <c r="O90" i="3"/>
  <c r="O91" i="3"/>
  <c r="P91" i="3" s="1"/>
  <c r="O92" i="3"/>
  <c r="P92" i="3" s="1"/>
  <c r="O93" i="3"/>
  <c r="O94" i="3"/>
  <c r="O95" i="3"/>
  <c r="P95" i="3" s="1"/>
  <c r="O96" i="3"/>
  <c r="P96" i="3" s="1"/>
  <c r="O97" i="3"/>
  <c r="O98" i="3"/>
  <c r="O99" i="3"/>
  <c r="P99" i="3" s="1"/>
  <c r="O100" i="3"/>
  <c r="P100" i="3" s="1"/>
  <c r="O101" i="3"/>
  <c r="O102" i="3"/>
  <c r="O103" i="3"/>
  <c r="P103" i="3" s="1"/>
  <c r="O104" i="3"/>
  <c r="P104" i="3" s="1"/>
  <c r="O105" i="3"/>
  <c r="O106" i="3"/>
  <c r="O107" i="3"/>
  <c r="P107" i="3" s="1"/>
  <c r="O108" i="3"/>
  <c r="P108" i="3" s="1"/>
  <c r="O109" i="3"/>
  <c r="O110" i="3"/>
  <c r="O111" i="3"/>
  <c r="P111" i="3" s="1"/>
  <c r="O112" i="3"/>
  <c r="P112" i="3" s="1"/>
  <c r="O113" i="3"/>
  <c r="O122" i="3"/>
  <c r="O123" i="3"/>
  <c r="P123" i="3" s="1"/>
  <c r="O124" i="3"/>
  <c r="P124" i="3" s="1"/>
  <c r="O125" i="3"/>
  <c r="O126" i="3"/>
  <c r="O127" i="3"/>
  <c r="P127" i="3" s="1"/>
  <c r="O128" i="3"/>
  <c r="P128" i="3" s="1"/>
  <c r="O129" i="3"/>
  <c r="O130" i="3"/>
  <c r="O131" i="3"/>
  <c r="P131" i="3" s="1"/>
  <c r="O132" i="3"/>
  <c r="P132" i="3" s="1"/>
  <c r="O133" i="3"/>
  <c r="O134" i="3"/>
  <c r="O135" i="3"/>
  <c r="P135" i="3" s="1"/>
  <c r="O136" i="3"/>
  <c r="P136" i="3" s="1"/>
  <c r="O137" i="3"/>
  <c r="O138" i="3"/>
  <c r="O139" i="3"/>
  <c r="P139" i="3" s="1"/>
  <c r="O140" i="3"/>
  <c r="P140" i="3" s="1"/>
  <c r="O141" i="3"/>
  <c r="O142" i="3"/>
  <c r="O143" i="3"/>
  <c r="P143" i="3" s="1"/>
  <c r="O144" i="3"/>
  <c r="P144" i="3" s="1"/>
  <c r="O145" i="3"/>
  <c r="O146" i="3"/>
  <c r="O147" i="3"/>
  <c r="P147" i="3" s="1"/>
  <c r="O148" i="3"/>
  <c r="P148" i="3" s="1"/>
  <c r="O149" i="3"/>
  <c r="O150" i="3"/>
  <c r="O151" i="3"/>
  <c r="P151" i="3" s="1"/>
  <c r="O152" i="3"/>
  <c r="P152" i="3" s="1"/>
  <c r="O153" i="3"/>
  <c r="O114" i="3"/>
  <c r="P114" i="3" s="1"/>
  <c r="O115" i="3"/>
  <c r="P115" i="3" s="1"/>
  <c r="O116" i="3"/>
  <c r="P116" i="3" s="1"/>
  <c r="O118" i="3"/>
  <c r="P118" i="3" s="1"/>
  <c r="O119" i="3"/>
  <c r="O120" i="3"/>
  <c r="P120" i="3" s="1"/>
  <c r="O121" i="3"/>
  <c r="P121" i="3" s="1"/>
  <c r="P17" i="8"/>
  <c r="Q17" i="8" s="1"/>
  <c r="P18" i="8"/>
  <c r="Q18" i="8" s="1"/>
  <c r="P19" i="8"/>
  <c r="Q19" i="8" s="1"/>
  <c r="P20" i="8"/>
  <c r="Q20" i="8" s="1"/>
  <c r="P21" i="8"/>
  <c r="Q21" i="8" s="1"/>
  <c r="P9" i="8"/>
  <c r="Q9" i="8" s="1"/>
  <c r="P10" i="8"/>
  <c r="Q10" i="8" s="1"/>
  <c r="P11" i="8"/>
  <c r="Q11" i="8" s="1"/>
  <c r="P12" i="8"/>
  <c r="Q12" i="8" s="1"/>
  <c r="P13" i="8"/>
  <c r="Q13" i="8" s="1"/>
  <c r="P14" i="8"/>
  <c r="Q14" i="8" s="1"/>
  <c r="P22" i="8"/>
  <c r="Q22" i="8" s="1"/>
  <c r="P15" i="8"/>
  <c r="Q15" i="8" s="1"/>
  <c r="P16" i="8"/>
  <c r="Q16" i="8" s="1"/>
  <c r="P23" i="7"/>
  <c r="Q23" i="7" s="1"/>
  <c r="P37" i="7"/>
  <c r="Q37" i="7" s="1"/>
  <c r="P30" i="7"/>
  <c r="Q30" i="7" s="1"/>
  <c r="P9" i="7"/>
  <c r="Q9" i="7" s="1"/>
  <c r="P16" i="7"/>
  <c r="Q16" i="7" s="1"/>
  <c r="P24" i="7"/>
  <c r="Q24" i="7" s="1"/>
  <c r="P25" i="7"/>
  <c r="Q25" i="7" s="1"/>
  <c r="P26" i="7"/>
  <c r="Q26" i="7" s="1"/>
  <c r="P27" i="7"/>
  <c r="Q27" i="7" s="1"/>
  <c r="P28" i="7"/>
  <c r="Q28" i="7" s="1"/>
  <c r="P38" i="7"/>
  <c r="Q38" i="7" s="1"/>
  <c r="P39" i="7"/>
  <c r="Q39" i="7" s="1"/>
  <c r="P40" i="7"/>
  <c r="Q40" i="7" s="1"/>
  <c r="P41" i="7"/>
  <c r="Q41" i="7" s="1"/>
  <c r="P42" i="7"/>
  <c r="Q42" i="7" s="1"/>
  <c r="P31" i="7"/>
  <c r="Q31" i="7" s="1"/>
  <c r="P32" i="7"/>
  <c r="Q32" i="7" s="1"/>
  <c r="P33" i="7"/>
  <c r="Q33" i="7" s="1"/>
  <c r="P34" i="7"/>
  <c r="Q34" i="7" s="1"/>
  <c r="P35" i="7"/>
  <c r="Q35" i="7" s="1"/>
  <c r="P10" i="7"/>
  <c r="Q10" i="7" s="1"/>
  <c r="P11" i="7"/>
  <c r="Q11" i="7" s="1"/>
  <c r="P12" i="7"/>
  <c r="Q12" i="7" s="1"/>
  <c r="P13" i="7"/>
  <c r="Q13" i="7" s="1"/>
  <c r="P14" i="7"/>
  <c r="Q14" i="7" s="1"/>
  <c r="P17" i="7"/>
  <c r="Q17" i="7" s="1"/>
  <c r="P18" i="7"/>
  <c r="Q18" i="7" s="1"/>
  <c r="P19" i="7"/>
  <c r="Q19" i="7" s="1"/>
  <c r="P20" i="7"/>
  <c r="Q20" i="7" s="1"/>
  <c r="P21" i="7"/>
  <c r="Q21" i="7" s="1"/>
  <c r="P29" i="7"/>
  <c r="Q29" i="7" s="1"/>
  <c r="P43" i="7"/>
  <c r="Q43" i="7" s="1"/>
  <c r="P36" i="7"/>
  <c r="Q36" i="7" s="1"/>
  <c r="P15" i="7"/>
  <c r="Q15" i="7" s="1"/>
  <c r="P22" i="7"/>
  <c r="Q22" i="7" s="1"/>
  <c r="P50" i="3"/>
  <c r="P122" i="3"/>
  <c r="P24" i="3"/>
  <c r="P74" i="3"/>
  <c r="P66" i="3"/>
  <c r="P86" i="3"/>
  <c r="P25" i="3"/>
  <c r="P42" i="3"/>
  <c r="P98" i="3"/>
  <c r="P34" i="3"/>
  <c r="P138" i="3"/>
  <c r="P130" i="3"/>
  <c r="P146" i="3"/>
  <c r="P106" i="3"/>
  <c r="P90" i="3"/>
  <c r="P58" i="3"/>
  <c r="P126" i="3"/>
  <c r="P94" i="3"/>
  <c r="P150" i="3"/>
  <c r="P110" i="3"/>
  <c r="P142" i="3"/>
  <c r="P102" i="3"/>
  <c r="P134" i="3"/>
  <c r="P78" i="3"/>
  <c r="P54" i="3"/>
  <c r="P32" i="3"/>
  <c r="P26" i="3"/>
  <c r="P38" i="3"/>
  <c r="P82" i="3"/>
  <c r="P70" i="3"/>
  <c r="P22" i="3"/>
  <c r="P62" i="3"/>
  <c r="P46" i="3"/>
  <c r="P52" i="3"/>
  <c r="P30" i="3"/>
  <c r="P49" i="3"/>
  <c r="P39" i="3"/>
  <c r="P33" i="3"/>
  <c r="P45" i="3"/>
  <c r="P29" i="3"/>
  <c r="P119" i="3"/>
  <c r="P153" i="3"/>
  <c r="P145" i="3"/>
  <c r="P137" i="3"/>
  <c r="P129" i="3"/>
  <c r="P113" i="3"/>
  <c r="P105" i="3"/>
  <c r="P97" i="3"/>
  <c r="P89" i="3"/>
  <c r="P81" i="3"/>
  <c r="P73" i="3"/>
  <c r="P65" i="3"/>
  <c r="P57" i="3"/>
  <c r="P51" i="3"/>
  <c r="P117" i="3"/>
  <c r="P149" i="3"/>
  <c r="P141" i="3"/>
  <c r="P133" i="3"/>
  <c r="P125" i="3"/>
  <c r="P109" i="3"/>
  <c r="P101" i="3"/>
  <c r="P93" i="3"/>
  <c r="P85" i="3"/>
  <c r="P77" i="3"/>
  <c r="P69" i="3"/>
  <c r="P61" i="3"/>
  <c r="P53" i="3"/>
  <c r="P21" i="3"/>
  <c r="P17" i="3"/>
  <c r="P13" i="3"/>
  <c r="P11" i="3"/>
  <c r="P37" i="3"/>
  <c r="P41" i="3"/>
  <c r="P20" i="3"/>
  <c r="P18" i="3"/>
  <c r="P14" i="3"/>
  <c r="P12" i="3"/>
  <c r="P10" i="3"/>
  <c r="Q56" i="12" l="1"/>
  <c r="Q57" i="12" s="1"/>
  <c r="P57" i="12"/>
  <c r="L57" i="12" s="1"/>
</calcChain>
</file>

<file path=xl/sharedStrings.xml><?xml version="1.0" encoding="utf-8"?>
<sst xmlns="http://schemas.openxmlformats.org/spreadsheetml/2006/main" count="1231" uniqueCount="174">
  <si>
    <t>Euro 1</t>
  </si>
  <si>
    <t>Euro 2</t>
  </si>
  <si>
    <t>Euro 3</t>
  </si>
  <si>
    <t>Euro 4</t>
  </si>
  <si>
    <t>Euro 5</t>
  </si>
  <si>
    <t>Euro 6</t>
  </si>
  <si>
    <t>Diesel &lt;3,5 t</t>
  </si>
  <si>
    <t>Gasoline &lt;3,5t</t>
  </si>
  <si>
    <t>COPERT 4 version 8.1</t>
  </si>
  <si>
    <t>((a*(b^x))*(x^c))</t>
  </si>
  <si>
    <t>Articulated 14 - 20 t</t>
  </si>
  <si>
    <t>Heavy Duty Trucks</t>
  </si>
  <si>
    <t>(((a*(x^3))+(b*(x^2))+(c*x))+d)</t>
  </si>
  <si>
    <t>((a*(x^b))+(c*(x^d)))</t>
  </si>
  <si>
    <t>Articulated 40 - 50 t</t>
  </si>
  <si>
    <t>(1/(a+(b*(x^c))))</t>
  </si>
  <si>
    <t>Articulated 34 - 40 t</t>
  </si>
  <si>
    <t>Articulated 28 - 34 t</t>
  </si>
  <si>
    <t>Articulated 20 - 28 t</t>
  </si>
  <si>
    <t>Rigid &gt;32 t</t>
  </si>
  <si>
    <t>Rigid 28 - 32 t</t>
  </si>
  <si>
    <t>Rigid 26 - 28 t</t>
  </si>
  <si>
    <t>Rigid 20 - 26 t</t>
  </si>
  <si>
    <t>Rigid 14 - 20 t</t>
  </si>
  <si>
    <t>(1/(((c*(x^2))+(b*x))+a))</t>
  </si>
  <si>
    <t>Rigid 12 - 14 t</t>
  </si>
  <si>
    <t>Rigid 7,5 - 12 t</t>
  </si>
  <si>
    <t>((a+(b*x))^((-1)/c))</t>
  </si>
  <si>
    <t>Rigid &lt;=7,5 t</t>
  </si>
  <si>
    <t>Urban Buses Articulated &gt;18 t</t>
  </si>
  <si>
    <t>Buses</t>
  </si>
  <si>
    <t>Urban Buses Standard 15 - 18 t</t>
  </si>
  <si>
    <t>Urban Buses Midi &lt;=15 t</t>
  </si>
  <si>
    <t>Coaches Articulated &gt;18 t</t>
  </si>
  <si>
    <t>Coaches Standard &lt;=18 t</t>
  </si>
  <si>
    <t>Function</t>
  </si>
  <si>
    <t>g</t>
  </si>
  <si>
    <t>f</t>
  </si>
  <si>
    <t>e</t>
  </si>
  <si>
    <t>d</t>
  </si>
  <si>
    <t>c</t>
  </si>
  <si>
    <t>b</t>
  </si>
  <si>
    <t>a</t>
  </si>
  <si>
    <t>Passenger Cars</t>
  </si>
  <si>
    <t>Diesel &gt;2,0 l</t>
  </si>
  <si>
    <t>Diesel &lt;2,0 l</t>
  </si>
  <si>
    <t>Gasoline &gt;2,0 l</t>
  </si>
  <si>
    <t>Gasoline 1,4 - 2,0 l</t>
  </si>
  <si>
    <t>Gasoline &lt;1,4 l</t>
  </si>
  <si>
    <t>ALPHA</t>
  </si>
  <si>
    <t>BETA</t>
  </si>
  <si>
    <t>GAMMA</t>
  </si>
  <si>
    <t>DELTA</t>
  </si>
  <si>
    <t>EPSILON</t>
  </si>
  <si>
    <t>ZITA</t>
  </si>
  <si>
    <t>ITA</t>
  </si>
  <si>
    <t>THITA</t>
  </si>
  <si>
    <t>RF</t>
  </si>
  <si>
    <t>Vehicle type</t>
  </si>
  <si>
    <t>Euro standard</t>
  </si>
  <si>
    <t xml:space="preserve">Pre-Euro </t>
  </si>
  <si>
    <t xml:space="preserve">Euro I </t>
  </si>
  <si>
    <t xml:space="preserve">Euro II </t>
  </si>
  <si>
    <t xml:space="preserve">Euro III </t>
  </si>
  <si>
    <t>Euro V EGR</t>
  </si>
  <si>
    <t>Euro V SCR</t>
  </si>
  <si>
    <t xml:space="preserve">Euro VI </t>
  </si>
  <si>
    <t>Fuel / Size</t>
  </si>
  <si>
    <t>Pre-Euro</t>
  </si>
  <si>
    <t>Vehicle type I</t>
  </si>
  <si>
    <t>Average speed (km/h)</t>
  </si>
  <si>
    <t>NOx Emission Factors</t>
  </si>
  <si>
    <t>Enter average speed for all vehicle types here (km/h)</t>
  </si>
  <si>
    <t>Light Duty Vehicles</t>
  </si>
  <si>
    <t>Average Speed (km/h)</t>
  </si>
  <si>
    <t>((Alpha * Speed ^ 2) + (Beta * Speed) + Gamma + (Delta * (Log(Speed)) + (Epsilon * Exp(Zita * Speed)) + (Ita * (Speed ^ Thita))) * (1 - RF)</t>
  </si>
  <si>
    <t>((Alpha + Gamma * Speed + Epsilon * Speed ^2 + Zita / Speed ) / (1 + Beta * Speed + Delta * Speed ^ 2)) * (1 - RF)</t>
  </si>
  <si>
    <t>Title:</t>
  </si>
  <si>
    <t>NAEI Ref:</t>
  </si>
  <si>
    <t>Recipient:</t>
  </si>
  <si>
    <t>Author:</t>
  </si>
  <si>
    <t>Helen Walker and Yvonne Pang</t>
  </si>
  <si>
    <t>Sent:</t>
  </si>
  <si>
    <t>Date:</t>
  </si>
  <si>
    <t>Delivery Method:</t>
  </si>
  <si>
    <t>Notes:</t>
  </si>
  <si>
    <t>QA Checks: This Spreadsheet</t>
  </si>
  <si>
    <t>NOx EF (g/km)</t>
  </si>
  <si>
    <t>Min speed (km/h)</t>
  </si>
  <si>
    <t>Max speed (km/h)</t>
  </si>
  <si>
    <t>Euro IV</t>
  </si>
  <si>
    <t>Size</t>
  </si>
  <si>
    <t>Fuel</t>
  </si>
  <si>
    <t>Diesel</t>
  </si>
  <si>
    <t>(a+(b/(1+exp((((-1)*c)+(d*ln(x)))+(e*x)))))</t>
  </si>
  <si>
    <t>exp((a+(b/x))+(c*ln(x)))</t>
  </si>
  <si>
    <t>Moped</t>
  </si>
  <si>
    <t>Petrol</t>
  </si>
  <si>
    <t>&lt; 50 cc</t>
  </si>
  <si>
    <t>Pre-Euro 1</t>
  </si>
  <si>
    <t>M/cycle, 2-stroke</t>
  </si>
  <si>
    <t>M/cycle, 4-stroke</t>
  </si>
  <si>
    <t>k</t>
  </si>
  <si>
    <t>Function (x = km/h)</t>
  </si>
  <si>
    <t>&lt;=150 cc</t>
  </si>
  <si>
    <t>150-250 cc</t>
  </si>
  <si>
    <t>250-750 cc</t>
  </si>
  <si>
    <t>&gt;750 cc</t>
  </si>
  <si>
    <t>k*(a+bx+cx2+dx3+ex4+fx5+gx6)/x</t>
  </si>
  <si>
    <r>
      <t>MC</t>
    </r>
    <r>
      <rPr>
        <vertAlign val="subscript"/>
        <sz val="11"/>
        <color indexed="8"/>
        <rFont val="Calibri"/>
        <family val="2"/>
      </rPr>
      <t>URBAN</t>
    </r>
    <r>
      <rPr>
        <sz val="11"/>
        <color theme="1"/>
        <rFont val="Calibri"/>
        <family val="2"/>
        <scheme val="minor"/>
      </rPr>
      <t xml:space="preserve"> + (V-19)*(MC</t>
    </r>
    <r>
      <rPr>
        <vertAlign val="subscript"/>
        <sz val="11"/>
        <color indexed="8"/>
        <rFont val="Calibri"/>
        <family val="2"/>
      </rPr>
      <t>ROAD</t>
    </r>
    <r>
      <rPr>
        <sz val="11"/>
        <color theme="1"/>
        <rFont val="Calibri"/>
        <family val="2"/>
        <scheme val="minor"/>
      </rPr>
      <t>-MC</t>
    </r>
    <r>
      <rPr>
        <vertAlign val="subscript"/>
        <sz val="11"/>
        <color indexed="8"/>
        <rFont val="Calibri"/>
        <family val="2"/>
      </rPr>
      <t>URBAN</t>
    </r>
    <r>
      <rPr>
        <sz val="11"/>
        <color theme="1"/>
        <rFont val="Calibri"/>
        <family val="2"/>
        <scheme val="minor"/>
      </rPr>
      <t>)/44</t>
    </r>
  </si>
  <si>
    <t>&gt; 19 and &lt; 63</t>
  </si>
  <si>
    <r>
      <t>MC</t>
    </r>
    <r>
      <rPr>
        <vertAlign val="subscript"/>
        <sz val="11"/>
        <color indexed="8"/>
        <rFont val="Calibri"/>
        <family val="2"/>
      </rPr>
      <t>ROAD</t>
    </r>
  </si>
  <si>
    <t>≥ 63</t>
  </si>
  <si>
    <r>
      <t>MC</t>
    </r>
    <r>
      <rPr>
        <vertAlign val="subscript"/>
        <sz val="11"/>
        <color indexed="8"/>
        <rFont val="Calibri"/>
        <family val="2"/>
      </rPr>
      <t>URBAN</t>
    </r>
  </si>
  <si>
    <t>≤ 19</t>
  </si>
  <si>
    <r>
      <t>Mileage correction - M</t>
    </r>
    <r>
      <rPr>
        <vertAlign val="subscript"/>
        <sz val="11"/>
        <color indexed="8"/>
        <rFont val="Calibri"/>
        <family val="2"/>
      </rPr>
      <t>corr</t>
    </r>
    <r>
      <rPr>
        <sz val="11"/>
        <color theme="1"/>
        <rFont val="Calibri"/>
        <family val="2"/>
        <scheme val="minor"/>
      </rPr>
      <t xml:space="preserve"> [-]</t>
    </r>
  </si>
  <si>
    <t>Speed - V [km/h]</t>
  </si>
  <si>
    <t>Table 3: Emission degradation correction factor as a function of speed</t>
  </si>
  <si>
    <t>ALL</t>
  </si>
  <si>
    <r>
      <t>NOx - MC</t>
    </r>
    <r>
      <rPr>
        <vertAlign val="subscript"/>
        <sz val="11"/>
        <color indexed="8"/>
        <rFont val="Calibri"/>
        <family val="2"/>
      </rPr>
      <t>ROAD</t>
    </r>
  </si>
  <si>
    <r>
      <t>Correction for speed (V) &gt; 63 km/h (MC</t>
    </r>
    <r>
      <rPr>
        <vertAlign val="subscript"/>
        <sz val="11"/>
        <color indexed="8"/>
        <rFont val="Calibri"/>
        <family val="2"/>
      </rPr>
      <t>ROAD</t>
    </r>
    <r>
      <rPr>
        <sz val="11"/>
        <color theme="1"/>
        <rFont val="Calibri"/>
        <family val="2"/>
        <scheme val="minor"/>
      </rPr>
      <t>)</t>
    </r>
  </si>
  <si>
    <t>&gt;1.4</t>
  </si>
  <si>
    <t>&lt;=1.4</t>
  </si>
  <si>
    <r>
      <t>NOx - MC</t>
    </r>
    <r>
      <rPr>
        <vertAlign val="subscript"/>
        <sz val="11"/>
        <color indexed="8"/>
        <rFont val="Calibri"/>
        <family val="2"/>
      </rPr>
      <t>URBAN</t>
    </r>
  </si>
  <si>
    <r>
      <t>Correction for speed (V) &lt; 19 km/h (MC</t>
    </r>
    <r>
      <rPr>
        <vertAlign val="subscript"/>
        <sz val="11"/>
        <color indexed="8"/>
        <rFont val="Calibri"/>
        <family val="2"/>
      </rPr>
      <t>URBAN</t>
    </r>
    <r>
      <rPr>
        <sz val="11"/>
        <color theme="1"/>
        <rFont val="Calibri"/>
        <family val="2"/>
        <scheme val="minor"/>
      </rPr>
      <t>)</t>
    </r>
  </si>
  <si>
    <t>Value at ≥ 160,000 km</t>
  </si>
  <si>
    <r>
      <t>B</t>
    </r>
    <r>
      <rPr>
        <b/>
        <vertAlign val="subscript"/>
        <sz val="11"/>
        <color indexed="8"/>
        <rFont val="Calibri"/>
        <family val="2"/>
      </rPr>
      <t>M</t>
    </r>
    <r>
      <rPr>
        <b/>
        <sz val="11"/>
        <color indexed="8"/>
        <rFont val="Calibri"/>
        <family val="2"/>
      </rPr>
      <t xml:space="preserve"> (Value at 0km)</t>
    </r>
  </si>
  <si>
    <r>
      <t>A</t>
    </r>
    <r>
      <rPr>
        <b/>
        <vertAlign val="subscript"/>
        <sz val="11"/>
        <color indexed="8"/>
        <rFont val="Calibri"/>
        <family val="2"/>
      </rPr>
      <t>M</t>
    </r>
  </si>
  <si>
    <t>Average mileage [km]</t>
  </si>
  <si>
    <t>Engine Size [litre]</t>
  </si>
  <si>
    <r>
      <t>MC = A</t>
    </r>
    <r>
      <rPr>
        <b/>
        <vertAlign val="subscript"/>
        <sz val="11"/>
        <color indexed="8"/>
        <rFont val="Calibri"/>
        <family val="2"/>
      </rPr>
      <t>M</t>
    </r>
    <r>
      <rPr>
        <b/>
        <sz val="11"/>
        <color indexed="8"/>
        <rFont val="Calibri"/>
        <family val="2"/>
      </rPr>
      <t xml:space="preserve"> x M</t>
    </r>
    <r>
      <rPr>
        <b/>
        <vertAlign val="subscript"/>
        <sz val="11"/>
        <color indexed="8"/>
        <rFont val="Calibri"/>
        <family val="2"/>
      </rPr>
      <t>MEAN</t>
    </r>
    <r>
      <rPr>
        <b/>
        <sz val="11"/>
        <color indexed="8"/>
        <rFont val="Calibri"/>
        <family val="2"/>
      </rPr>
      <t xml:space="preserve"> + B</t>
    </r>
    <r>
      <rPr>
        <b/>
        <vertAlign val="subscript"/>
        <sz val="11"/>
        <color indexed="8"/>
        <rFont val="Calibri"/>
        <family val="2"/>
      </rPr>
      <t>M</t>
    </r>
  </si>
  <si>
    <t>Table 2: Emission degradation due to vehicle age for Euro 3 and Euro 4 petrol cars and LGVs</t>
  </si>
  <si>
    <t>For selection</t>
  </si>
  <si>
    <t>Correction factor for Euro 1 
or Euro 2 petrol LDVs --&gt;</t>
  </si>
  <si>
    <t>MCRoad</t>
  </si>
  <si>
    <t>Enter speed in km/h here --&gt;</t>
  </si>
  <si>
    <t>MCUrban</t>
  </si>
  <si>
    <t>Enter vehicle mileage in km here --&gt;</t>
  </si>
  <si>
    <t>≥ 120,000</t>
  </si>
  <si>
    <t>Matrix</t>
  </si>
  <si>
    <r>
      <t xml:space="preserve">Value at </t>
    </r>
    <r>
      <rPr>
        <b/>
        <sz val="11"/>
        <color indexed="8"/>
        <rFont val="Calibri"/>
        <family val="2"/>
      </rPr>
      <t xml:space="preserve">≥ </t>
    </r>
    <r>
      <rPr>
        <b/>
        <sz val="11"/>
        <color indexed="8"/>
        <rFont val="Calibri"/>
        <family val="2"/>
      </rPr>
      <t>120,000 km</t>
    </r>
  </si>
  <si>
    <t>Table 1: Emission degradation due to vehicle age for Euro 1 and Euro 2 petrol cars and LGVs</t>
  </si>
  <si>
    <t>All Bus and HGV emission factors are for 0% gradient and 50% load, consistent with the DfT/TRL 2009 bus/HGV factors and representative of average HGV load conditions in the UK.</t>
  </si>
  <si>
    <t>DfT/TRL 2009: http://www2.dft.gov.uk/pgr/roads/environment/emissions/</t>
  </si>
  <si>
    <t>Road vehicle emission factors for NOx based on COPERT 4 v8.1 (2011): speed-emission factor equations</t>
  </si>
  <si>
    <t>1. The LGV emission factors presented here should be used for all sizes of LGV except for small LGVs (Class I) with car body types where emission factors for medium-sized cars should be used</t>
  </si>
  <si>
    <t>Emission Degradation Corrections - the emission factors calculated from the speed-emission factor equations below for Euro 1,2 and Euro 3,4 petrol cars and LGVs need to multiplied by the mileage-related correction factors derived from the functions shown in the 'Emis Degradation' worksheet.</t>
  </si>
  <si>
    <t>2. Emission Degradation Corrections - the emission factors calculated from the speed-emission factor equations below for Euro 1,2 and Euro 3,4 petrol cars and LGVs need to multiplied by the mileage-related correction factors derived from the functions shown in the 'Emis Degradation' worksheet.</t>
  </si>
  <si>
    <t>Work example 1:</t>
  </si>
  <si>
    <t>Work example 2:</t>
  </si>
  <si>
    <t>&lt;160,000</t>
  </si>
  <si>
    <t>&lt;120,000</t>
  </si>
  <si>
    <t>≥ 160,000</t>
  </si>
  <si>
    <t>Correction factor for Euro 3 
or Euro 4 petrol LDVs --&gt;</t>
  </si>
  <si>
    <t>Choose engine size ---&gt;</t>
  </si>
  <si>
    <t>Coaches</t>
  </si>
  <si>
    <t>rtp_Copert4_NOxEFs_final.xls</t>
  </si>
  <si>
    <t>Please reference all data as provided by UK National Atmospheric Emission Inventory</t>
  </si>
  <si>
    <t>Explanatory notes page</t>
  </si>
  <si>
    <t>Notes</t>
  </si>
  <si>
    <t>6 sheets + QA</t>
  </si>
  <si>
    <t>Cars</t>
  </si>
  <si>
    <t>LGVs</t>
  </si>
  <si>
    <t>HGVs &amp; Buses</t>
  </si>
  <si>
    <t>Motorcycles</t>
  </si>
  <si>
    <t>Emis Degradation</t>
  </si>
  <si>
    <t>Hot exhaust NOx speed-related emission functions for Cars</t>
  </si>
  <si>
    <t>Hot exhaust NOx speed-related emission functions for LGVs</t>
  </si>
  <si>
    <t>Hot exhaust NOx speed-related emission functions for HGVs, Buses and Coaches</t>
  </si>
  <si>
    <t>Hot exhaust NOx speed-related emission functions for Motorcycles</t>
  </si>
  <si>
    <t>Emissions degradation methodology for Cars &amp; LGVs</t>
  </si>
  <si>
    <t>TM</t>
  </si>
  <si>
    <t>ED57423001</t>
  </si>
  <si>
    <r>
      <t>The COPERT NOx emission factors  for petrol cars and LGVs are to be used in conjunction with a set of functions, to take account of emission degradation due to vehicle age/accumulated mileage, using the methodology as described by the 2009 EMEP/ EEA emission inventory guidebook (June 2010 version) below.  For further information and work example, please see '</t>
    </r>
    <r>
      <rPr>
        <b/>
        <sz val="14"/>
        <color rgb="FF0070C0"/>
        <rFont val="Calibri"/>
        <family val="2"/>
        <scheme val="minor"/>
      </rPr>
      <t>Guidance note on emission degradation method for NOx.doc</t>
    </r>
    <r>
      <rPr>
        <b/>
        <sz val="14"/>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</si>
</sst>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0.00000"/>
    <numFmt numFmtId="166" formatCode="0.000"/>
    <numFmt numFmtId="167" formatCode="#,##0.00000"/>
  </numFmts>
  <fonts count="35" x14ac:knownFonts="1">
    <font>
      <sz val="11"/>
      <color theme="1"/>
      <name val="Calibri"/>
      <family val="2"/>
      <scheme val="minor"/>
    </font>
    <font>
      <sz val="10"/>
      <name val="Arial"/>
      <family val="2"/>
    </font>
    <font>
      <u/>
      <sz val="7"/>
      <color indexed="12"/>
      <name val="Arial"/>
      <family val="2"/>
    </font>
    <font>
      <sz val="10"/>
      <name val="Arial"/>
      <family val="2"/>
    </font>
    <font>
      <u/>
      <sz val="7"/>
      <color indexed="12"/>
      <name val="Arial"/>
      <family val="2"/>
    </font>
    <font>
      <sz val="10"/>
      <name val="Times New Roman"/>
      <family val="1"/>
      <charset val="161"/>
    </font>
    <font>
      <sz val="10"/>
      <color indexed="10"/>
      <name val="Arial"/>
      <family val="2"/>
    </font>
    <font>
      <b/>
      <sz val="10"/>
      <name val="Arial"/>
      <family val="2"/>
    </font>
    <font>
      <b/>
      <sz val="10"/>
      <color indexed="10"/>
      <name val="Arial"/>
      <family val="2"/>
    </font>
    <font>
      <b/>
      <sz val="9"/>
      <name val="Arial"/>
      <family val="2"/>
    </font>
    <font>
      <sz val="9"/>
      <name val="Arial"/>
      <family val="2"/>
    </font>
    <font>
      <b/>
      <sz val="11"/>
      <color indexed="8"/>
      <name val="Calibri"/>
      <family val="2"/>
    </font>
    <font>
      <b/>
      <sz val="14"/>
      <name val="Arial"/>
      <family val="2"/>
    </font>
    <font>
      <vertAlign val="subscript"/>
      <sz val="11"/>
      <color indexed="8"/>
      <name val="Calibri"/>
      <family val="2"/>
    </font>
    <font>
      <b/>
      <vertAlign val="subscript"/>
      <sz val="11"/>
      <color indexed="8"/>
      <name val="Calibri"/>
      <family val="2"/>
    </font>
    <font>
      <sz val="11"/>
      <color theme="1"/>
      <name val="Calibri"/>
      <family val="2"/>
      <scheme val="minor"/>
    </font>
    <font>
      <sz val="11"/>
      <color theme="1"/>
      <name val="Arial"/>
      <family val="2"/>
    </font>
    <font>
      <sz val="11"/>
      <color rgb="FF3F3F76"/>
      <name val="Arial"/>
      <family val="2"/>
    </font>
    <font>
      <b/>
      <sz val="11"/>
      <color theme="1"/>
      <name val="Calibri"/>
      <family val="2"/>
      <scheme val="minor"/>
    </font>
    <font>
      <b/>
      <sz val="11"/>
      <color rgb="FFFF0000"/>
      <name val="Calibri"/>
      <family val="2"/>
      <scheme val="minor"/>
    </font>
    <font>
      <sz val="10"/>
      <name val="Calibri"/>
      <family val="2"/>
      <scheme val="minor"/>
    </font>
    <font>
      <b/>
      <sz val="12"/>
      <color theme="0"/>
      <name val="Arial"/>
      <family val="2"/>
    </font>
    <font>
      <u/>
      <sz val="11"/>
      <color indexed="12"/>
      <name val="Calibri"/>
      <family val="2"/>
      <scheme val="minor"/>
    </font>
    <font>
      <b/>
      <sz val="12"/>
      <name val="Calibri"/>
      <family val="2"/>
      <scheme val="minor"/>
    </font>
    <font>
      <b/>
      <sz val="11"/>
      <name val="Calibri"/>
      <family val="2"/>
      <scheme val="minor"/>
    </font>
    <font>
      <sz val="11"/>
      <name val="Calibri"/>
      <family val="2"/>
      <scheme val="minor"/>
    </font>
    <font>
      <sz val="11"/>
      <color theme="1"/>
      <name val="Calibri"/>
      <family val="2"/>
    </font>
    <font>
      <sz val="20"/>
      <color rgb="FFFF0000"/>
      <name val="Calibri"/>
      <family val="2"/>
      <scheme val="minor"/>
    </font>
    <font>
      <b/>
      <sz val="14"/>
      <color rgb="FFFF0000"/>
      <name val="Calibri"/>
      <family val="2"/>
      <scheme val="minor"/>
    </font>
    <font>
      <b/>
      <sz val="16"/>
      <color rgb="FFFF0000"/>
      <name val="Calibri"/>
      <family val="2"/>
      <scheme val="minor"/>
    </font>
    <font>
      <b/>
      <sz val="12"/>
      <color rgb="FFFF0000"/>
      <name val="Calibri"/>
      <family val="2"/>
      <scheme val="minor"/>
    </font>
    <font>
      <sz val="14"/>
      <color theme="1"/>
      <name val="Calibri"/>
      <family val="2"/>
      <scheme val="minor"/>
    </font>
    <font>
      <sz val="14"/>
      <color theme="4"/>
      <name val="Arial"/>
      <family val="2"/>
    </font>
    <font>
      <b/>
      <sz val="14"/>
      <name val="Calibri"/>
      <family val="2"/>
      <scheme val="minor"/>
    </font>
    <font>
      <b/>
      <sz val="14"/>
      <color rgb="FF0070C0"/>
      <name val="Calibri"/>
      <family val="2"/>
      <scheme val="minor"/>
    </font>
  </fonts>
  <fills count="1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5" tint="0.79998168889431442"/>
        <bgColor indexed="65"/>
      </patternFill>
    </fill>
    <fill>
      <patternFill patternType="solid">
        <fgColor rgb="FFFFCC99"/>
      </patternFill>
    </fill>
    <fill>
      <patternFill patternType="solid">
        <fgColor rgb="FFFF99FF"/>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theme="0" tint="-0.499984740745262"/>
      </left>
      <right/>
      <top style="thin">
        <color theme="0" tint="-0.499984740745262"/>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s>
  <cellStyleXfs count="16">
    <xf numFmtId="0" fontId="0" fillId="0" borderId="0"/>
    <xf numFmtId="0" fontId="16" fillId="4" borderId="0" applyNumberFormat="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7" fillId="5" borderId="31" applyNumberFormat="0" applyAlignment="0" applyProtection="0"/>
    <xf numFmtId="0" fontId="1" fillId="0" borderId="0"/>
    <xf numFmtId="0" fontId="15" fillId="0" borderId="0"/>
    <xf numFmtId="0" fontId="3" fillId="0" borderId="0"/>
    <xf numFmtId="0" fontId="15" fillId="0" borderId="0"/>
    <xf numFmtId="9" fontId="1" fillId="0" borderId="0" applyFont="0" applyFill="0" applyBorder="0" applyAlignment="0" applyProtection="0"/>
    <xf numFmtId="9" fontId="3" fillId="0" borderId="0" applyFont="0" applyFill="0" applyBorder="0" applyAlignment="0" applyProtection="0"/>
    <xf numFmtId="0" fontId="1" fillId="0" borderId="0"/>
    <xf numFmtId="44" fontId="1" fillId="0" borderId="0" applyFont="0" applyFill="0" applyBorder="0" applyAlignment="0" applyProtection="0"/>
  </cellStyleXfs>
  <cellXfs count="151">
    <xf numFmtId="0" fontId="0" fillId="0" borderId="0" xfId="0"/>
    <xf numFmtId="0" fontId="15" fillId="0" borderId="0" xfId="9"/>
    <xf numFmtId="0" fontId="15" fillId="0" borderId="0" xfId="9" applyFill="1"/>
    <xf numFmtId="166" fontId="0" fillId="0" borderId="0" xfId="0" applyNumberFormat="1" applyFont="1" applyFill="1"/>
    <xf numFmtId="166" fontId="0" fillId="0" borderId="0" xfId="0" applyNumberFormat="1" applyFill="1"/>
    <xf numFmtId="0" fontId="15" fillId="0" borderId="0" xfId="11"/>
    <xf numFmtId="0" fontId="18" fillId="0" borderId="0" xfId="9" applyFont="1"/>
    <xf numFmtId="0" fontId="18" fillId="0" borderId="0" xfId="0" applyFont="1"/>
    <xf numFmtId="167" fontId="0" fillId="0" borderId="0" xfId="0" applyNumberFormat="1" applyBorder="1"/>
    <xf numFmtId="0" fontId="0" fillId="0" borderId="0" xfId="0" applyBorder="1"/>
    <xf numFmtId="0" fontId="0" fillId="0" borderId="0" xfId="0" applyBorder="1" applyAlignment="1">
      <alignment horizontal="center"/>
    </xf>
    <xf numFmtId="0" fontId="18" fillId="0" borderId="0" xfId="9" applyFont="1" applyAlignment="1">
      <alignment wrapText="1"/>
    </xf>
    <xf numFmtId="0" fontId="5" fillId="0" borderId="0" xfId="0" applyFont="1" applyBorder="1" applyAlignment="1">
      <alignment horizontal="left" indent="1"/>
    </xf>
    <xf numFmtId="0" fontId="18" fillId="0" borderId="0" xfId="11" applyFont="1"/>
    <xf numFmtId="0" fontId="0" fillId="0" borderId="0" xfId="0" applyFont="1"/>
    <xf numFmtId="0" fontId="15" fillId="0" borderId="0" xfId="11" applyFont="1"/>
    <xf numFmtId="0" fontId="15" fillId="0" borderId="0" xfId="11" applyFont="1" applyFill="1"/>
    <xf numFmtId="0" fontId="20" fillId="0" borderId="0" xfId="0" applyFont="1" applyFill="1" applyBorder="1"/>
    <xf numFmtId="0" fontId="0" fillId="0" borderId="0" xfId="0" applyFont="1" applyFill="1" applyBorder="1"/>
    <xf numFmtId="1" fontId="0" fillId="0" borderId="0" xfId="0" applyNumberFormat="1" applyFont="1" applyFill="1"/>
    <xf numFmtId="166" fontId="0" fillId="0" borderId="0" xfId="0" applyNumberFormat="1" applyFont="1" applyFill="1"/>
    <xf numFmtId="0" fontId="0" fillId="0" borderId="0" xfId="0" applyFont="1" applyFill="1"/>
    <xf numFmtId="165" fontId="0" fillId="6" borderId="0" xfId="0" applyNumberFormat="1" applyFont="1" applyFill="1"/>
    <xf numFmtId="0" fontId="21" fillId="7" borderId="32" xfId="0" applyFont="1" applyFill="1" applyBorder="1" applyAlignment="1">
      <alignment vertical="center" wrapText="1"/>
    </xf>
    <xf numFmtId="164" fontId="0" fillId="2" borderId="0" xfId="0" applyNumberFormat="1" applyFill="1" applyBorder="1"/>
    <xf numFmtId="0" fontId="15" fillId="0" borderId="0" xfId="9" applyFont="1"/>
    <xf numFmtId="0" fontId="15" fillId="0" borderId="0" xfId="9" applyFont="1" applyFill="1"/>
    <xf numFmtId="0" fontId="0" fillId="0" borderId="0" xfId="0" applyAlignment="1">
      <alignment wrapText="1"/>
    </xf>
    <xf numFmtId="0" fontId="22" fillId="0" borderId="0" xfId="5" applyFont="1" applyAlignment="1" applyProtection="1"/>
    <xf numFmtId="0" fontId="0" fillId="0" borderId="0" xfId="0" applyAlignment="1"/>
    <xf numFmtId="0" fontId="18" fillId="0" borderId="0" xfId="0" applyFont="1" applyAlignment="1"/>
    <xf numFmtId="0" fontId="21" fillId="0" borderId="0" xfId="0" applyFont="1" applyFill="1" applyBorder="1" applyAlignment="1">
      <alignment vertical="center"/>
    </xf>
    <xf numFmtId="164" fontId="19" fillId="0" borderId="0" xfId="11" applyNumberFormat="1" applyFont="1" applyBorder="1" applyAlignment="1">
      <alignment horizontal="center"/>
    </xf>
    <xf numFmtId="0" fontId="23" fillId="0" borderId="0" xfId="9" applyFont="1"/>
    <xf numFmtId="0" fontId="24" fillId="0" borderId="0" xfId="9" applyFont="1"/>
    <xf numFmtId="0" fontId="10" fillId="0" borderId="0" xfId="8" applyFont="1" applyFill="1" applyBorder="1" applyAlignment="1">
      <alignment horizontal="center" vertical="center"/>
    </xf>
    <xf numFmtId="0" fontId="9" fillId="0" borderId="0" xfId="8" applyFont="1" applyFill="1" applyBorder="1" applyAlignment="1">
      <alignment vertical="center" wrapText="1"/>
    </xf>
    <xf numFmtId="0" fontId="1" fillId="0" borderId="0" xfId="8" applyFont="1" applyFill="1" applyBorder="1" applyAlignment="1">
      <alignment horizontal="center" vertical="center"/>
    </xf>
    <xf numFmtId="0" fontId="12" fillId="0" borderId="0" xfId="8" applyFont="1" applyFill="1" applyBorder="1" applyAlignment="1">
      <alignment vertical="center"/>
    </xf>
    <xf numFmtId="0" fontId="25" fillId="0" borderId="0" xfId="0" applyFont="1" applyFill="1" applyBorder="1" applyAlignment="1"/>
    <xf numFmtId="0" fontId="1" fillId="0" borderId="0" xfId="8" applyFont="1" applyBorder="1"/>
    <xf numFmtId="0" fontId="26" fillId="0" borderId="8" xfId="0" applyFont="1" applyBorder="1"/>
    <xf numFmtId="0" fontId="26" fillId="0" borderId="9" xfId="0" applyFont="1" applyBorder="1"/>
    <xf numFmtId="0" fontId="0" fillId="0" borderId="10" xfId="0" applyBorder="1"/>
    <xf numFmtId="0" fontId="0" fillId="8" borderId="11" xfId="0" applyFill="1" applyBorder="1" applyAlignment="1">
      <alignment horizontal="center"/>
    </xf>
    <xf numFmtId="0" fontId="0" fillId="8" borderId="12" xfId="0" applyFill="1" applyBorder="1" applyAlignment="1">
      <alignment horizontal="center"/>
    </xf>
    <xf numFmtId="0" fontId="0" fillId="8" borderId="8" xfId="0" applyFill="1" applyBorder="1" applyAlignment="1">
      <alignment horizontal="center"/>
    </xf>
    <xf numFmtId="0" fontId="0" fillId="9" borderId="13" xfId="0" applyFill="1" applyBorder="1" applyAlignment="1">
      <alignment horizontal="center"/>
    </xf>
    <xf numFmtId="0" fontId="0" fillId="9" borderId="1" xfId="0" applyFill="1" applyBorder="1" applyAlignment="1">
      <alignment horizontal="center"/>
    </xf>
    <xf numFmtId="11" fontId="0" fillId="9" borderId="1" xfId="0" applyNumberFormat="1" applyFill="1" applyBorder="1" applyAlignment="1">
      <alignment horizontal="center"/>
    </xf>
    <xf numFmtId="0" fontId="18" fillId="0" borderId="14" xfId="0" applyFont="1" applyBorder="1"/>
    <xf numFmtId="0" fontId="18" fillId="0" borderId="15" xfId="0" applyFont="1" applyBorder="1"/>
    <xf numFmtId="0" fontId="18" fillId="0" borderId="15" xfId="0" applyFont="1" applyBorder="1" applyAlignment="1">
      <alignment horizontal="center"/>
    </xf>
    <xf numFmtId="0" fontId="18" fillId="0" borderId="10" xfId="0" applyFont="1" applyBorder="1"/>
    <xf numFmtId="0" fontId="0" fillId="0" borderId="16" xfId="0" applyBorder="1"/>
    <xf numFmtId="0" fontId="19" fillId="0" borderId="17" xfId="0" applyFont="1" applyFill="1" applyBorder="1"/>
    <xf numFmtId="0" fontId="0" fillId="0" borderId="17" xfId="0" applyBorder="1"/>
    <xf numFmtId="0" fontId="0" fillId="0" borderId="17" xfId="0" applyBorder="1" applyAlignment="1"/>
    <xf numFmtId="0" fontId="0" fillId="0" borderId="18" xfId="0" applyBorder="1"/>
    <xf numFmtId="0" fontId="0" fillId="0" borderId="1" xfId="0" applyBorder="1"/>
    <xf numFmtId="0" fontId="0" fillId="0" borderId="1" xfId="0" applyFill="1" applyBorder="1"/>
    <xf numFmtId="0" fontId="0" fillId="0" borderId="19" xfId="0" applyBorder="1"/>
    <xf numFmtId="0" fontId="0" fillId="0" borderId="21" xfId="0" applyFill="1" applyBorder="1" applyAlignment="1">
      <alignment wrapText="1"/>
    </xf>
    <xf numFmtId="43" fontId="15" fillId="0" borderId="0" xfId="2" applyFont="1"/>
    <xf numFmtId="0" fontId="0" fillId="0" borderId="1" xfId="0" applyBorder="1" applyAlignment="1">
      <alignment horizontal="right"/>
    </xf>
    <xf numFmtId="0" fontId="0" fillId="0" borderId="20" xfId="0" applyBorder="1"/>
    <xf numFmtId="0" fontId="0" fillId="0" borderId="0" xfId="0" applyBorder="1" applyAlignment="1">
      <alignment horizontal="right"/>
    </xf>
    <xf numFmtId="0" fontId="0" fillId="0" borderId="0" xfId="0" applyBorder="1" applyAlignment="1"/>
    <xf numFmtId="0" fontId="0" fillId="0" borderId="21" xfId="0" applyBorder="1"/>
    <xf numFmtId="0" fontId="0" fillId="9" borderId="9" xfId="0" applyFill="1" applyBorder="1" applyAlignment="1">
      <alignment horizontal="center"/>
    </xf>
    <xf numFmtId="0" fontId="0" fillId="0" borderId="20" xfId="0" applyFill="1" applyBorder="1"/>
    <xf numFmtId="0" fontId="0" fillId="0" borderId="22" xfId="0" applyBorder="1"/>
    <xf numFmtId="0" fontId="0" fillId="0" borderId="23" xfId="0" applyBorder="1"/>
    <xf numFmtId="0" fontId="0" fillId="0" borderId="24" xfId="0" applyBorder="1"/>
    <xf numFmtId="0" fontId="27" fillId="10" borderId="0" xfId="9" applyFont="1" applyFill="1" applyAlignment="1">
      <alignment vertical="center"/>
    </xf>
    <xf numFmtId="0" fontId="0" fillId="10" borderId="0" xfId="0" applyFont="1" applyFill="1"/>
    <xf numFmtId="0" fontId="29" fillId="10" borderId="0" xfId="0" applyFont="1" applyFill="1"/>
    <xf numFmtId="164" fontId="28" fillId="11" borderId="1" xfId="11" applyNumberFormat="1" applyFont="1" applyFill="1" applyBorder="1" applyAlignment="1">
      <alignment horizontal="center"/>
    </xf>
    <xf numFmtId="0" fontId="30" fillId="0" borderId="0" xfId="0" applyFont="1"/>
    <xf numFmtId="0" fontId="31" fillId="0" borderId="0" xfId="0" applyFont="1" applyBorder="1" applyAlignment="1">
      <alignment horizontal="center"/>
    </xf>
    <xf numFmtId="164" fontId="28" fillId="0" borderId="0" xfId="11" applyNumberFormat="1" applyFont="1" applyBorder="1" applyAlignment="1">
      <alignment horizontal="center"/>
    </xf>
    <xf numFmtId="0" fontId="32" fillId="0" borderId="0" xfId="0" applyFont="1" applyBorder="1"/>
    <xf numFmtId="0" fontId="0" fillId="0" borderId="0" xfId="0" applyFill="1" applyBorder="1"/>
    <xf numFmtId="0" fontId="0" fillId="0" borderId="0" xfId="0" applyFill="1" applyBorder="1" applyAlignment="1">
      <alignment horizontal="center"/>
    </xf>
    <xf numFmtId="164" fontId="0" fillId="0" borderId="0" xfId="0" applyNumberFormat="1" applyFill="1" applyBorder="1"/>
    <xf numFmtId="165" fontId="0" fillId="0" borderId="0" xfId="0" applyNumberFormat="1" applyFont="1" applyFill="1"/>
    <xf numFmtId="0" fontId="31" fillId="0" borderId="0" xfId="11" applyFont="1"/>
    <xf numFmtId="166" fontId="19" fillId="9" borderId="20" xfId="0" applyNumberFormat="1" applyFont="1" applyFill="1" applyBorder="1"/>
    <xf numFmtId="0" fontId="0" fillId="0" borderId="20" xfId="0" applyBorder="1" applyAlignment="1">
      <alignment horizontal="right"/>
    </xf>
    <xf numFmtId="0" fontId="1" fillId="12" borderId="0" xfId="14" applyFill="1"/>
    <xf numFmtId="0" fontId="8" fillId="0" borderId="0" xfId="9" applyFont="1"/>
    <xf numFmtId="0" fontId="1" fillId="12" borderId="0" xfId="14" applyFill="1" applyBorder="1"/>
    <xf numFmtId="0" fontId="1" fillId="3" borderId="7" xfId="14" applyFill="1" applyBorder="1"/>
    <xf numFmtId="0" fontId="1" fillId="3" borderId="6" xfId="14" applyFont="1" applyFill="1" applyBorder="1"/>
    <xf numFmtId="0" fontId="6" fillId="3" borderId="7" xfId="14" applyFont="1" applyFill="1" applyBorder="1"/>
    <xf numFmtId="0" fontId="8" fillId="3" borderId="6" xfId="14" applyFont="1" applyFill="1" applyBorder="1"/>
    <xf numFmtId="0" fontId="1" fillId="3" borderId="5" xfId="14" applyFill="1" applyBorder="1"/>
    <xf numFmtId="0" fontId="1" fillId="3" borderId="4" xfId="14" applyFill="1" applyBorder="1"/>
    <xf numFmtId="0" fontId="1" fillId="3" borderId="0" xfId="14" applyFont="1" applyFill="1" applyBorder="1"/>
    <xf numFmtId="0" fontId="8" fillId="3" borderId="0" xfId="14" applyFont="1" applyFill="1" applyBorder="1"/>
    <xf numFmtId="0" fontId="1" fillId="3" borderId="5" xfId="14" applyFont="1" applyFill="1" applyBorder="1"/>
    <xf numFmtId="0" fontId="8" fillId="3" borderId="4" xfId="14" applyFont="1" applyFill="1" applyBorder="1"/>
    <xf numFmtId="14" fontId="1" fillId="3" borderId="5" xfId="14" applyNumberFormat="1" applyFill="1" applyBorder="1" applyAlignment="1">
      <alignment horizontal="left"/>
    </xf>
    <xf numFmtId="0" fontId="7" fillId="3" borderId="4" xfId="14" applyFont="1" applyFill="1" applyBorder="1"/>
    <xf numFmtId="14" fontId="1" fillId="3" borderId="3" xfId="14" applyNumberFormat="1" applyFill="1" applyBorder="1" applyAlignment="1">
      <alignment horizontal="left"/>
    </xf>
    <xf numFmtId="0" fontId="1" fillId="3" borderId="2" xfId="14" applyFill="1" applyBorder="1"/>
    <xf numFmtId="0" fontId="1" fillId="3" borderId="3" xfId="14" applyFill="1" applyBorder="1"/>
    <xf numFmtId="0" fontId="7" fillId="3" borderId="2" xfId="14" applyFont="1" applyFill="1" applyBorder="1"/>
    <xf numFmtId="0" fontId="1" fillId="12" borderId="7" xfId="14" applyFill="1" applyBorder="1"/>
    <xf numFmtId="0" fontId="1" fillId="12" borderId="6" xfId="14" applyFill="1" applyBorder="1"/>
    <xf numFmtId="0" fontId="1" fillId="12" borderId="5" xfId="14" applyFill="1" applyBorder="1"/>
    <xf numFmtId="0" fontId="1" fillId="12" borderId="4" xfId="14" applyFill="1" applyBorder="1"/>
    <xf numFmtId="0" fontId="7" fillId="12" borderId="5" xfId="14" applyFont="1" applyFill="1" applyBorder="1"/>
    <xf numFmtId="0" fontId="7" fillId="12" borderId="3" xfId="14" applyFont="1" applyFill="1" applyBorder="1"/>
    <xf numFmtId="0" fontId="7" fillId="12" borderId="2" xfId="14" applyFont="1" applyFill="1" applyBorder="1"/>
    <xf numFmtId="0" fontId="7" fillId="12" borderId="7" xfId="14" applyFont="1" applyFill="1" applyBorder="1"/>
    <xf numFmtId="0" fontId="7" fillId="12" borderId="6" xfId="14" applyFont="1" applyFill="1" applyBorder="1"/>
    <xf numFmtId="14" fontId="7" fillId="12" borderId="7" xfId="14" applyNumberFormat="1" applyFont="1" applyFill="1" applyBorder="1" applyAlignment="1">
      <alignment horizontal="left"/>
    </xf>
    <xf numFmtId="14" fontId="7" fillId="12" borderId="5" xfId="14" applyNumberFormat="1" applyFont="1" applyFill="1" applyBorder="1" applyAlignment="1">
      <alignment horizontal="left"/>
    </xf>
    <xf numFmtId="0" fontId="7" fillId="12" borderId="4" xfId="14" applyFont="1" applyFill="1" applyBorder="1"/>
    <xf numFmtId="0" fontId="7" fillId="12" borderId="5" xfId="14" applyFont="1" applyFill="1" applyBorder="1" applyAlignment="1">
      <alignment vertical="top"/>
    </xf>
    <xf numFmtId="0" fontId="7" fillId="12" borderId="4" xfId="14" applyFont="1" applyFill="1" applyBorder="1" applyAlignment="1">
      <alignment vertical="top"/>
    </xf>
    <xf numFmtId="0" fontId="7" fillId="12" borderId="0" xfId="14" applyFont="1" applyFill="1"/>
    <xf numFmtId="0" fontId="1" fillId="12" borderId="3" xfId="14" applyFill="1" applyBorder="1"/>
    <xf numFmtId="0" fontId="1" fillId="12" borderId="2" xfId="14" applyFill="1" applyBorder="1"/>
    <xf numFmtId="0" fontId="0" fillId="12" borderId="7" xfId="14" applyFont="1" applyFill="1" applyBorder="1"/>
    <xf numFmtId="0" fontId="28" fillId="0" borderId="0" xfId="11" applyFont="1" applyAlignment="1">
      <alignment horizontal="center" vertical="center" wrapText="1"/>
    </xf>
    <xf numFmtId="0" fontId="0" fillId="0" borderId="21" xfId="0" applyBorder="1" applyAlignment="1">
      <alignment horizontal="right" wrapText="1"/>
    </xf>
    <xf numFmtId="0" fontId="0" fillId="0" borderId="0" xfId="0" applyBorder="1" applyAlignment="1">
      <alignment horizontal="right" wrapText="1"/>
    </xf>
    <xf numFmtId="0" fontId="0" fillId="0" borderId="35" xfId="0" applyBorder="1" applyAlignment="1">
      <alignment horizontal="right" wrapText="1"/>
    </xf>
    <xf numFmtId="0" fontId="0" fillId="0" borderId="0" xfId="0" applyFill="1" applyBorder="1" applyAlignment="1">
      <alignment horizontal="right" wrapText="1"/>
    </xf>
    <xf numFmtId="0" fontId="0" fillId="9" borderId="33" xfId="0" applyFill="1" applyBorder="1" applyAlignment="1">
      <alignment horizontal="center"/>
    </xf>
    <xf numFmtId="0" fontId="0" fillId="0" borderId="34" xfId="0" applyBorder="1"/>
    <xf numFmtId="0" fontId="0" fillId="0" borderId="28" xfId="0" applyBorder="1"/>
    <xf numFmtId="0" fontId="0" fillId="9" borderId="9" xfId="0" applyFill="1" applyBorder="1" applyAlignment="1">
      <alignment horizontal="center" vertical="center"/>
    </xf>
    <xf numFmtId="0" fontId="0" fillId="8" borderId="33" xfId="0" applyFill="1" applyBorder="1" applyAlignment="1">
      <alignment horizontal="center"/>
    </xf>
    <xf numFmtId="0" fontId="0" fillId="8" borderId="9" xfId="0" applyFill="1" applyBorder="1" applyAlignment="1">
      <alignment horizontal="center"/>
    </xf>
    <xf numFmtId="0" fontId="0" fillId="8" borderId="8" xfId="0" applyFill="1" applyBorder="1" applyAlignment="1">
      <alignment horizontal="center"/>
    </xf>
    <xf numFmtId="0" fontId="0" fillId="8" borderId="1" xfId="0" applyFill="1" applyBorder="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0" fillId="8" borderId="11" xfId="0" applyFill="1" applyBorder="1" applyAlignment="1">
      <alignment horizontal="center"/>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11" fontId="0" fillId="8" borderId="1" xfId="0" applyNumberFormat="1" applyFill="1" applyBorder="1" applyAlignment="1">
      <alignment horizontal="center"/>
    </xf>
    <xf numFmtId="11" fontId="0" fillId="8" borderId="12" xfId="0" applyNumberFormat="1" applyFill="1" applyBorder="1" applyAlignment="1">
      <alignment horizontal="center"/>
    </xf>
    <xf numFmtId="0" fontId="33" fillId="0" borderId="0" xfId="0" applyFont="1" applyAlignment="1">
      <alignment horizontal="left" vertical="center" wrapText="1"/>
    </xf>
  </cellXfs>
  <cellStyles count="16">
    <cellStyle name="20% - Accent2 2" xfId="1"/>
    <cellStyle name="Comma" xfId="2" builtinId="3"/>
    <cellStyle name="Comma 2" xfId="3"/>
    <cellStyle name="Comma 3" xfId="4"/>
    <cellStyle name="Currency 2" xfId="15"/>
    <cellStyle name="Hyperlink" xfId="5" builtinId="8"/>
    <cellStyle name="Hyperlink 2" xfId="6"/>
    <cellStyle name="Input 2" xfId="7"/>
    <cellStyle name="Normal" xfId="0" builtinId="0"/>
    <cellStyle name="Normal 2" xfId="8"/>
    <cellStyle name="Normal 2 2" xfId="9"/>
    <cellStyle name="Normal 3" xfId="10"/>
    <cellStyle name="Normal 3 2" xfId="14"/>
    <cellStyle name="Normal 4" xfId="11"/>
    <cellStyle name="Percent 2" xfId="12"/>
    <cellStyle name="Percent 3" xfId="1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1028700</xdr:colOff>
      <xdr:row>5</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12096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0</xdr:row>
      <xdr:rowOff>9525</xdr:rowOff>
    </xdr:from>
    <xdr:to>
      <xdr:col>3</xdr:col>
      <xdr:colOff>2114550</xdr:colOff>
      <xdr:row>5</xdr:row>
      <xdr:rowOff>104775</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9525"/>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19050</xdr:rowOff>
    </xdr:from>
    <xdr:to>
      <xdr:col>1</xdr:col>
      <xdr:colOff>1028700</xdr:colOff>
      <xdr:row>5</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12096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0</xdr:row>
      <xdr:rowOff>9525</xdr:rowOff>
    </xdr:from>
    <xdr:to>
      <xdr:col>3</xdr:col>
      <xdr:colOff>2114550</xdr:colOff>
      <xdr:row>5</xdr:row>
      <xdr:rowOff>104775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9525"/>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2</xdr:rowOff>
    </xdr:from>
    <xdr:to>
      <xdr:col>12</xdr:col>
      <xdr:colOff>57150</xdr:colOff>
      <xdr:row>38</xdr:row>
      <xdr:rowOff>28575</xdr:rowOff>
    </xdr:to>
    <xdr:sp macro="" textlink="">
      <xdr:nvSpPr>
        <xdr:cNvPr id="2" name="Text Box 1"/>
        <xdr:cNvSpPr txBox="1">
          <a:spLocks noChangeArrowheads="1"/>
        </xdr:cNvSpPr>
      </xdr:nvSpPr>
      <xdr:spPr bwMode="auto">
        <a:xfrm>
          <a:off x="257175" y="381002"/>
          <a:ext cx="7115175" cy="6896098"/>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GB" sz="1000" b="1" i="0" u="none" strike="noStrike" baseline="0">
              <a:solidFill>
                <a:srgbClr val="0000FF"/>
              </a:solidFill>
              <a:latin typeface="Arial"/>
              <a:cs typeface="Arial"/>
            </a:rPr>
            <a:t>COPERT 4 v8.1 NOx Emission Factors used in latest 2010 UK National Atmospheric Emissions Inventory</a:t>
          </a: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r>
            <a:rPr lang="en-GB" sz="1000">
              <a:solidFill>
                <a:sysClr val="windowText" lastClr="000000"/>
              </a:solidFill>
              <a:latin typeface="Arial" pitchFamily="34" charset="0"/>
              <a:ea typeface="+mn-ea"/>
              <a:cs typeface="Arial" pitchFamily="34" charset="0"/>
            </a:rPr>
            <a:t>This spreadsheet provides the updated NOx speed-related emission functions for cars, LGVs, HGVs and buses, as adopted in the latest 2010 National Atmospheric Emissions Inventory.  These emission functions are sourced from the “Computer Programme to Calculate Emissions from Road Transport”, or referred to as COPERT 4 (version 8.1) as published in May 2011.  </a:t>
          </a:r>
          <a:r>
            <a:rPr lang="en-GB" sz="1000" b="0" i="0" baseline="0">
              <a:solidFill>
                <a:sysClr val="windowText" lastClr="000000"/>
              </a:solidFill>
              <a:latin typeface="Arial" pitchFamily="34" charset="0"/>
              <a:ea typeface="+mn-ea"/>
              <a:cs typeface="Arial" pitchFamily="34" charset="0"/>
            </a:rPr>
            <a:t>COPERT 4 (v8.1) is a model developed and coordinated by the European Commission's Joint Research Centre and the European Environment Agency and is designed for compiling national emission inventories.  </a:t>
          </a:r>
          <a:r>
            <a:rPr lang="en-GB" sz="1000">
              <a:solidFill>
                <a:sysClr val="windowText" lastClr="000000"/>
              </a:solidFill>
              <a:latin typeface="Arial" pitchFamily="34" charset="0"/>
              <a:ea typeface="+mn-ea"/>
              <a:cs typeface="Arial" pitchFamily="34" charset="0"/>
            </a:rPr>
            <a:t>They are to replace the NOx emission factors published by DfT in 2009, but the DfT factors should continue to be used for all other pollutants.  The changed factors provided here reflect the new evidence on the performance of</a:t>
          </a:r>
          <a:r>
            <a:rPr lang="en-GB" sz="1000" baseline="0">
              <a:solidFill>
                <a:sysClr val="windowText" lastClr="000000"/>
              </a:solidFill>
              <a:latin typeface="Arial" pitchFamily="34" charset="0"/>
              <a:ea typeface="+mn-ea"/>
              <a:cs typeface="Arial" pitchFamily="34" charset="0"/>
            </a:rPr>
            <a:t> vehicle NOx emissions under real-world conditions.</a:t>
          </a:r>
          <a:endParaRPr lang="en-GB" sz="1000" b="0" i="0" u="none" strike="noStrike" baseline="0">
            <a:solidFill>
              <a:sysClr val="windowText" lastClr="000000"/>
            </a:solidFill>
            <a:latin typeface="Arial" pitchFamily="34" charset="0"/>
            <a:cs typeface="Arial" pitchFamily="34" charset="0"/>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r>
            <a:rPr lang="en-GB" sz="1000" b="0" i="0" u="none" strike="noStrike" baseline="0">
              <a:solidFill>
                <a:srgbClr val="000000"/>
              </a:solidFill>
              <a:latin typeface="Arial"/>
              <a:cs typeface="Arial"/>
            </a:rPr>
            <a:t>These </a:t>
          </a:r>
          <a:r>
            <a:rPr lang="en-GB" sz="1000" b="0" i="0" u="none" strike="noStrike" baseline="0">
              <a:solidFill>
                <a:sysClr val="windowText" lastClr="000000"/>
              </a:solidFill>
              <a:latin typeface="Arial"/>
              <a:cs typeface="Arial"/>
            </a:rPr>
            <a:t>emission factors should be used in conjunction with the latest vehicle fleet composition projections (which will be made available on the NAEI website by end of July 2012), referred to as Base 2011.  This spreadsheet provides the mathematical equations that relate g/km emission factors to average vehicle speed.  Note that unlike previous DfT/TRL equations, different types of mathematical equations are used for different vehicle types.  The equations themselves have been coded so that the user only needs to enter speed on each worksheet for the emission factors to be calculated in columns Q (cars, LGVs, motorcycles) and R (HGVs and buses).</a:t>
          </a:r>
          <a:endParaRPr lang="en-GB" sz="1000" b="0" i="0" u="none" strike="noStrike" baseline="0">
            <a:solidFill>
              <a:sysClr val="windowText" lastClr="000000"/>
            </a:solidFill>
            <a:latin typeface="Arial" pitchFamily="34" charset="0"/>
            <a:cs typeface="Arial" pitchFamily="34" charset="0"/>
          </a:endParaRPr>
        </a:p>
        <a:p>
          <a:pPr algn="l" rtl="0">
            <a:lnSpc>
              <a:spcPts val="1000"/>
            </a:lnSpc>
            <a:defRPr sz="1000"/>
          </a:pPr>
          <a:endParaRPr lang="en-GB" sz="1000" b="0" i="0" u="none" strike="noStrike" baseline="0">
            <a:solidFill>
              <a:srgbClr val="000000"/>
            </a:solidFill>
            <a:latin typeface="Arial" pitchFamily="34" charset="0"/>
            <a:cs typeface="Arial" pitchFamily="34" charset="0"/>
          </a:endParaRPr>
        </a:p>
        <a:p>
          <a:pPr algn="l" rtl="0">
            <a:lnSpc>
              <a:spcPts val="1000"/>
            </a:lnSpc>
            <a:defRPr sz="1000"/>
          </a:pPr>
          <a:r>
            <a:rPr lang="en-GB" sz="1000" b="1" i="0" u="none" strike="noStrike" baseline="0">
              <a:solidFill>
                <a:srgbClr val="000000"/>
              </a:solidFill>
              <a:latin typeface="Arial" pitchFamily="34" charset="0"/>
              <a:cs typeface="Arial" pitchFamily="34" charset="0"/>
            </a:rPr>
            <a:t>Cars</a:t>
          </a:r>
          <a:r>
            <a:rPr lang="en-GB" sz="1000" b="0" i="0" u="none" strike="noStrike" baseline="0">
              <a:solidFill>
                <a:srgbClr val="000000"/>
              </a:solidFill>
              <a:latin typeface="Arial" pitchFamily="34" charset="0"/>
              <a:cs typeface="Arial" pitchFamily="34" charset="0"/>
            </a:rPr>
            <a:t> worksheet provides the parameters for calculation of NOx emission factors for passenger cars, for different fuel types, engine sizes and Euro standards. </a:t>
          </a:r>
        </a:p>
        <a:p>
          <a:pPr algn="l" rtl="0">
            <a:lnSpc>
              <a:spcPts val="1000"/>
            </a:lnSpc>
            <a:defRPr sz="1000"/>
          </a:pPr>
          <a:endParaRPr lang="en-GB"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GB" sz="1000" b="1" i="0" u="none" strike="noStrike" baseline="0">
              <a:solidFill>
                <a:srgbClr val="000000"/>
              </a:solidFill>
              <a:latin typeface="Arial" pitchFamily="34" charset="0"/>
              <a:ea typeface="+mn-ea"/>
              <a:cs typeface="Arial" pitchFamily="34" charset="0"/>
            </a:rPr>
            <a:t>LGVs </a:t>
          </a:r>
          <a:r>
            <a:rPr lang="en-GB" sz="1000" b="0" i="0" u="none" strike="noStrike" baseline="0">
              <a:solidFill>
                <a:srgbClr val="000000"/>
              </a:solidFill>
              <a:latin typeface="Arial" pitchFamily="34" charset="0"/>
              <a:ea typeface="+mn-ea"/>
              <a:cs typeface="Arial" pitchFamily="34" charset="0"/>
            </a:rPr>
            <a:t>worksheet provides the parameters for calculation of NOx emission factors for LGVs (&lt;3.5t), for different fuel types and Euro standards. </a:t>
          </a:r>
        </a:p>
        <a:p>
          <a:pPr marL="0" marR="0" indent="0" algn="l" defTabSz="914400" rtl="0" eaLnBrk="1" fontAlgn="auto" latinLnBrk="0" hangingPunct="1">
            <a:lnSpc>
              <a:spcPts val="1000"/>
            </a:lnSpc>
            <a:spcBef>
              <a:spcPts val="0"/>
            </a:spcBef>
            <a:spcAft>
              <a:spcPts val="0"/>
            </a:spcAft>
            <a:buClrTx/>
            <a:buSzTx/>
            <a:buFontTx/>
            <a:buNone/>
            <a:tabLst/>
            <a:defRPr sz="1000"/>
          </a:pPr>
          <a:endParaRPr lang="en-GB" sz="1000" b="1" i="0" u="none" strike="noStrike" baseline="0">
            <a:solidFill>
              <a:srgbClr val="000000"/>
            </a:solidFill>
            <a:latin typeface="Arial" pitchFamily="34" charset="0"/>
            <a:ea typeface="+mn-ea"/>
            <a:cs typeface="Arial" pitchFamily="34" charset="0"/>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GB" sz="1000" b="1" i="0" u="none" strike="noStrike" baseline="0">
              <a:solidFill>
                <a:srgbClr val="000000"/>
              </a:solidFill>
              <a:latin typeface="Arial" pitchFamily="34" charset="0"/>
              <a:ea typeface="+mn-ea"/>
              <a:cs typeface="Arial" pitchFamily="34" charset="0"/>
            </a:rPr>
            <a:t>HGVs &amp; Buses </a:t>
          </a:r>
          <a:r>
            <a:rPr lang="en-GB" sz="1000" b="0" i="0" u="none" strike="noStrike" baseline="0">
              <a:solidFill>
                <a:srgbClr val="000000"/>
              </a:solidFill>
              <a:latin typeface="Arial" pitchFamily="34" charset="0"/>
              <a:ea typeface="+mn-ea"/>
              <a:cs typeface="Arial" pitchFamily="34" charset="0"/>
            </a:rPr>
            <a:t>worksheet provides the parameters for calculation of NOx emission factors for HGVs and buses, for different sizes and Euro standards. </a:t>
          </a:r>
        </a:p>
        <a:p>
          <a:pPr marL="0" marR="0" indent="0" algn="l" defTabSz="914400" rtl="0" eaLnBrk="1" fontAlgn="auto" latinLnBrk="0" hangingPunct="1">
            <a:lnSpc>
              <a:spcPts val="1000"/>
            </a:lnSpc>
            <a:spcBef>
              <a:spcPts val="0"/>
            </a:spcBef>
            <a:spcAft>
              <a:spcPts val="0"/>
            </a:spcAft>
            <a:buClrTx/>
            <a:buSzTx/>
            <a:buFontTx/>
            <a:buNone/>
            <a:tabLst/>
            <a:defRPr sz="1000"/>
          </a:pPr>
          <a:endParaRPr lang="en-GB" sz="1000" b="0" i="0" u="none" strike="noStrike" baseline="0">
            <a:solidFill>
              <a:srgbClr val="000000"/>
            </a:solidFill>
            <a:latin typeface="Arial" pitchFamily="34" charset="0"/>
            <a:ea typeface="+mn-ea"/>
            <a:cs typeface="Arial" pitchFamily="34" charset="0"/>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GB" sz="1000" b="1" i="0" u="none" strike="noStrike" baseline="0">
              <a:solidFill>
                <a:sysClr val="windowText" lastClr="000000"/>
              </a:solidFill>
              <a:latin typeface="Arial" pitchFamily="34" charset="0"/>
              <a:ea typeface="+mn-ea"/>
              <a:cs typeface="Arial" pitchFamily="34" charset="0"/>
            </a:rPr>
            <a:t>Motorcycles</a:t>
          </a:r>
          <a:r>
            <a:rPr lang="en-GB" sz="1000" b="0" i="0" u="none" strike="noStrike" baseline="0">
              <a:solidFill>
                <a:sysClr val="windowText" lastClr="000000"/>
              </a:solidFill>
              <a:latin typeface="Arial" pitchFamily="34" charset="0"/>
              <a:ea typeface="+mn-ea"/>
              <a:cs typeface="Arial" pitchFamily="34" charset="0"/>
            </a:rPr>
            <a:t> worksheet provides the parameters </a:t>
          </a:r>
          <a:r>
            <a:rPr lang="en-GB" sz="1000" b="0" i="0" baseline="0">
              <a:solidFill>
                <a:sysClr val="windowText" lastClr="000000"/>
              </a:solidFill>
              <a:latin typeface="Arial" pitchFamily="34" charset="0"/>
              <a:ea typeface="+mn-ea"/>
              <a:cs typeface="Arial" pitchFamily="34" charset="0"/>
            </a:rPr>
            <a:t>for calculation of NOx emission factors for mopeds and motorcycles of different sizes and Euro standards.  These are based on the original DfT/TRL 2009 database of emission factors and are unchanged.</a:t>
          </a:r>
        </a:p>
        <a:p>
          <a:pPr marL="0" marR="0" indent="0" algn="l" defTabSz="914400" rtl="0" eaLnBrk="1" fontAlgn="auto" latinLnBrk="0" hangingPunct="1">
            <a:lnSpc>
              <a:spcPts val="1000"/>
            </a:lnSpc>
            <a:spcBef>
              <a:spcPts val="0"/>
            </a:spcBef>
            <a:spcAft>
              <a:spcPts val="0"/>
            </a:spcAft>
            <a:buClrTx/>
            <a:buSzTx/>
            <a:buFontTx/>
            <a:buNone/>
            <a:tabLst/>
            <a:defRPr sz="1000"/>
          </a:pPr>
          <a:endParaRPr lang="en-GB" sz="1000" b="0" i="0" u="none" strike="noStrike" baseline="0">
            <a:solidFill>
              <a:srgbClr val="FF0000"/>
            </a:solidFill>
            <a:latin typeface="+mn-lt"/>
            <a:ea typeface="+mn-ea"/>
            <a:cs typeface="+mn-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GB" sz="1000" b="0" i="0" u="none" strike="noStrike" baseline="0">
              <a:solidFill>
                <a:sysClr val="windowText" lastClr="000000"/>
              </a:solidFill>
              <a:latin typeface="Arial" pitchFamily="34" charset="0"/>
              <a:ea typeface="+mn-ea"/>
              <a:cs typeface="Arial" pitchFamily="34" charset="0"/>
            </a:rPr>
            <a:t>Parameters are provided for correcting NOx emission factors for petrol cars and LGVs with accumulated mileage/age due to emission degradation.  The correction factors are also based on COPERT 4 v8.1.</a:t>
          </a:r>
        </a:p>
        <a:p>
          <a:pPr marL="0" marR="0" indent="0" algn="l" defTabSz="914400" rtl="0" eaLnBrk="1" fontAlgn="auto" latinLnBrk="0" hangingPunct="1">
            <a:lnSpc>
              <a:spcPts val="1000"/>
            </a:lnSpc>
            <a:spcBef>
              <a:spcPts val="0"/>
            </a:spcBef>
            <a:spcAft>
              <a:spcPts val="0"/>
            </a:spcAft>
            <a:buClrTx/>
            <a:buSzTx/>
            <a:buFontTx/>
            <a:buNone/>
            <a:tabLst/>
            <a:defRPr sz="1000"/>
          </a:pPr>
          <a:endParaRPr lang="en-GB" sz="1000" b="0" i="0" u="none" strike="noStrike" baseline="0">
            <a:solidFill>
              <a:sysClr val="windowText" lastClr="000000"/>
            </a:solidFill>
            <a:latin typeface="Arial" pitchFamily="34" charset="0"/>
            <a:ea typeface="+mn-ea"/>
            <a:cs typeface="Arial" pitchFamily="34" charset="0"/>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GB" sz="1000" b="0" i="0" u="none" strike="noStrike" baseline="0">
              <a:solidFill>
                <a:sysClr val="windowText" lastClr="000000"/>
              </a:solidFill>
              <a:latin typeface="Arial" pitchFamily="34" charset="0"/>
              <a:ea typeface="+mn-ea"/>
              <a:cs typeface="Arial" pitchFamily="34" charset="0"/>
            </a:rPr>
            <a:t>The emission factors derived from the speed-emission equations, corrected for accumulated mileage (petrol cars and LGVs only), should be further multiplied by a fuel scaling factor to take account of the effect of improved fuel quality on existing vehicles in the fleet.  The fuel scaling factors are provided by DfT/TRL and are also based on COPERT 4.  For NOx, all fuel scaling factors are close to 1.00 indicating that fuel quality has a very small effect on NOx emissions.  The fuel scaling factors for NOx can be found with factors to be used for other pollutants in the existing DfT/TRL emission factor site at </a:t>
          </a:r>
          <a:r>
            <a:rPr lang="en-GB" sz="1000" b="0" i="0" u="none" strike="noStrike" baseline="0">
              <a:solidFill>
                <a:srgbClr val="0070C0"/>
              </a:solidFill>
              <a:latin typeface="Arial" pitchFamily="34" charset="0"/>
              <a:ea typeface="+mn-ea"/>
              <a:cs typeface="Arial" pitchFamily="34" charset="0"/>
            </a:rPr>
            <a:t>http://www.dft.gov.uk/publications/road-vehicle-emission-factors-2009/ </a:t>
          </a:r>
          <a:r>
            <a:rPr lang="en-GB" sz="1000" b="0" i="0" u="none" strike="noStrike" baseline="0">
              <a:solidFill>
                <a:sysClr val="windowText" lastClr="000000"/>
              </a:solidFill>
              <a:latin typeface="Arial" pitchFamily="34" charset="0"/>
              <a:ea typeface="+mn-ea"/>
              <a:cs typeface="Arial" pitchFamily="34" charset="0"/>
            </a:rPr>
            <a:t>.  </a:t>
          </a:r>
        </a:p>
        <a:p>
          <a:pPr marL="0" marR="0" indent="0" algn="l" defTabSz="914400" rtl="0" eaLnBrk="1" fontAlgn="auto" latinLnBrk="0" hangingPunct="1">
            <a:lnSpc>
              <a:spcPts val="1000"/>
            </a:lnSpc>
            <a:spcBef>
              <a:spcPts val="0"/>
            </a:spcBef>
            <a:spcAft>
              <a:spcPts val="0"/>
            </a:spcAft>
            <a:buClrTx/>
            <a:buSzTx/>
            <a:buFontTx/>
            <a:buNone/>
            <a:tabLst/>
            <a:defRPr sz="1000"/>
          </a:pPr>
          <a:endParaRPr lang="en-GB" sz="1000" b="0" i="0" u="none" strike="noStrike" baseline="0">
            <a:solidFill>
              <a:srgbClr val="000000"/>
            </a:solidFill>
            <a:latin typeface="Arial" pitchFamily="34" charset="0"/>
            <a:ea typeface="+mn-ea"/>
            <a:cs typeface="Arial" pitchFamily="34" charset="0"/>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GB" sz="1000" b="0" i="0" u="none" strike="noStrike" baseline="0">
              <a:solidFill>
                <a:srgbClr val="000000"/>
              </a:solidFill>
              <a:latin typeface="Arial" pitchFamily="34" charset="0"/>
              <a:ea typeface="+mn-ea"/>
              <a:cs typeface="Arial" pitchFamily="34" charset="0"/>
            </a:rPr>
            <a:t>More information about COPERT 4 can be found at </a:t>
          </a:r>
          <a:r>
            <a:rPr lang="en-GB" sz="1000" b="0" i="0" u="none" strike="noStrike" baseline="0">
              <a:solidFill>
                <a:srgbClr val="0070C0"/>
              </a:solidFill>
              <a:latin typeface="Arial" pitchFamily="34" charset="0"/>
              <a:ea typeface="+mn-ea"/>
              <a:cs typeface="Arial" pitchFamily="34" charset="0"/>
            </a:rPr>
            <a:t>http://www.emisia.com/copert/ </a:t>
          </a:r>
        </a:p>
        <a:p>
          <a:pPr algn="l" rtl="0">
            <a:lnSpc>
              <a:spcPts val="1000"/>
            </a:lnSpc>
            <a:defRPr sz="1000"/>
          </a:pPr>
          <a:r>
            <a:rPr lang="en-GB" sz="1000" b="0" i="0" u="none" strike="noStrike" baseline="0">
              <a:solidFill>
                <a:srgbClr val="000000"/>
              </a:solidFill>
              <a:latin typeface="Arial" pitchFamily="34" charset="0"/>
              <a:cs typeface="Arial" pitchFamily="34" charset="0"/>
            </a:rPr>
            <a:t>The latest version currently available for download is COPERT 4 v9, however there have been no changes to hot exhaust NOx emissions since the release of v8.1.</a:t>
          </a:r>
        </a:p>
        <a:p>
          <a:pPr algn="l" rtl="0">
            <a:lnSpc>
              <a:spcPts val="1000"/>
            </a:lnSpc>
            <a:defRPr sz="1000"/>
          </a:pPr>
          <a:endParaRPr lang="en-GB" sz="1000" b="0" i="0" u="none" strike="noStrike" baseline="0">
            <a:solidFill>
              <a:srgbClr val="000000"/>
            </a:solidFill>
            <a:latin typeface="Arial" pitchFamily="34" charset="0"/>
            <a:cs typeface="Arial" pitchFamily="34" charset="0"/>
          </a:endParaRPr>
        </a:p>
        <a:p>
          <a:pPr algn="l" rtl="0">
            <a:lnSpc>
              <a:spcPts val="1000"/>
            </a:lnSpc>
            <a:defRPr sz="1000"/>
          </a:pPr>
          <a:r>
            <a:rPr lang="en-US" sz="1000">
              <a:solidFill>
                <a:sysClr val="windowText" lastClr="000000"/>
              </a:solidFill>
              <a:latin typeface="Arial" pitchFamily="34" charset="0"/>
              <a:ea typeface="+mn-ea"/>
              <a:cs typeface="Arial" pitchFamily="34" charset="0"/>
            </a:rPr>
            <a:t>COPERT 4 provides separate NOx emission</a:t>
          </a:r>
          <a:r>
            <a:rPr lang="en-US" sz="1000" baseline="0">
              <a:solidFill>
                <a:sysClr val="windowText" lastClr="000000"/>
              </a:solidFill>
              <a:latin typeface="Arial" pitchFamily="34" charset="0"/>
              <a:ea typeface="+mn-ea"/>
              <a:cs typeface="Arial" pitchFamily="34" charset="0"/>
            </a:rPr>
            <a:t> </a:t>
          </a:r>
          <a:r>
            <a:rPr lang="en-US" sz="1000">
              <a:solidFill>
                <a:sysClr val="windowText" lastClr="000000"/>
              </a:solidFill>
              <a:latin typeface="Arial" pitchFamily="34" charset="0"/>
              <a:ea typeface="+mn-ea"/>
              <a:cs typeface="Arial" pitchFamily="34" charset="0"/>
            </a:rPr>
            <a:t>factors for Euro V HDVs with Selective Catalytic Reduction (SCR) and Exhaust Gas Recirculation</a:t>
          </a:r>
          <a:r>
            <a:rPr lang="en-US" sz="1000" baseline="0">
              <a:solidFill>
                <a:sysClr val="windowText" lastClr="000000"/>
              </a:solidFill>
              <a:latin typeface="Arial" pitchFamily="34" charset="0"/>
              <a:ea typeface="+mn-ea"/>
              <a:cs typeface="Arial" pitchFamily="34" charset="0"/>
            </a:rPr>
            <a:t> (EGR) systems</a:t>
          </a:r>
          <a:r>
            <a:rPr lang="en-US" sz="1000">
              <a:solidFill>
                <a:sysClr val="windowText" lastClr="000000"/>
              </a:solidFill>
              <a:latin typeface="Arial" pitchFamily="34" charset="0"/>
              <a:ea typeface="+mn-ea"/>
              <a:cs typeface="Arial" pitchFamily="34" charset="0"/>
            </a:rPr>
            <a:t>.  According to European Automobile Manufacturers’ association (ACEA), around 75% of Euro V HDVs sold in 2008 and 2009 are</a:t>
          </a:r>
          <a:r>
            <a:rPr lang="en-US" sz="1000" baseline="0">
              <a:solidFill>
                <a:sysClr val="windowText" lastClr="000000"/>
              </a:solidFill>
              <a:latin typeface="Arial" pitchFamily="34" charset="0"/>
              <a:ea typeface="+mn-ea"/>
              <a:cs typeface="Arial" pitchFamily="34" charset="0"/>
            </a:rPr>
            <a:t> equipped with</a:t>
          </a:r>
          <a:r>
            <a:rPr lang="en-US" sz="1000">
              <a:solidFill>
                <a:sysClr val="windowText" lastClr="000000"/>
              </a:solidFill>
              <a:latin typeface="Arial" pitchFamily="34" charset="0"/>
              <a:ea typeface="+mn-ea"/>
              <a:cs typeface="Arial" pitchFamily="34" charset="0"/>
            </a:rPr>
            <a:t> SCR, and this is recommended to be used if the country has no other information available (it is not expect that the</a:t>
          </a:r>
          <a:r>
            <a:rPr lang="en-US" sz="1000" baseline="0">
              <a:solidFill>
                <a:sysClr val="windowText" lastClr="000000"/>
              </a:solidFill>
              <a:latin typeface="Arial" pitchFamily="34" charset="0"/>
              <a:ea typeface="+mn-ea"/>
              <a:cs typeface="Arial" pitchFamily="34" charset="0"/>
            </a:rPr>
            <a:t> UK situation</a:t>
          </a:r>
          <a:r>
            <a:rPr lang="en-US" sz="1000">
              <a:solidFill>
                <a:sysClr val="windowText" lastClr="000000"/>
              </a:solidFill>
              <a:latin typeface="Arial" pitchFamily="34" charset="0"/>
              <a:ea typeface="+mn-ea"/>
              <a:cs typeface="Arial" pitchFamily="34" charset="0"/>
            </a:rPr>
            <a:t> will vary from this European average).  </a:t>
          </a:r>
          <a:endParaRPr lang="en-GB" sz="1000" b="0" i="0" u="none" strike="noStrike" baseline="0">
            <a:solidFill>
              <a:sysClr val="windowText" lastClr="000000"/>
            </a:solidFill>
            <a:latin typeface="Arial" pitchFamily="34" charset="0"/>
            <a:cs typeface="Arial" pitchFamily="34" charset="0"/>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r>
            <a:rPr lang="en-GB" sz="1000" b="1" i="0" u="none" strike="noStrike" baseline="0">
              <a:solidFill>
                <a:srgbClr val="000000"/>
              </a:solidFill>
              <a:latin typeface="Arial"/>
              <a:cs typeface="Arial"/>
            </a:rPr>
            <a:t>National Atmospheric Emissions Inventory</a:t>
          </a:r>
        </a:p>
        <a:p>
          <a:pPr algn="l" rtl="0">
            <a:lnSpc>
              <a:spcPts val="1000"/>
            </a:lnSpc>
            <a:defRPr sz="1000"/>
          </a:pPr>
          <a:r>
            <a:rPr lang="en-GB" sz="1000" b="1" i="0" u="none" strike="noStrike" baseline="0">
              <a:solidFill>
                <a:srgbClr val="000000"/>
              </a:solidFill>
              <a:latin typeface="Arial"/>
              <a:cs typeface="Arial"/>
            </a:rPr>
            <a:t>AEA</a:t>
          </a:r>
        </a:p>
        <a:p>
          <a:pPr algn="l" rtl="0">
            <a:lnSpc>
              <a:spcPts val="1000"/>
            </a:lnSpc>
            <a:defRPr sz="1000"/>
          </a:pPr>
          <a:r>
            <a:rPr lang="en-GB" sz="1000" b="1" i="0" u="none" strike="noStrike" baseline="0">
              <a:solidFill>
                <a:srgbClr val="000000"/>
              </a:solidFill>
              <a:latin typeface="Arial"/>
              <a:cs typeface="Arial"/>
            </a:rPr>
            <a:t>July 2012</a:t>
          </a: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247650</xdr:colOff>
      <xdr:row>38</xdr:row>
      <xdr:rowOff>66673</xdr:rowOff>
    </xdr:from>
    <xdr:to>
      <xdr:col>12</xdr:col>
      <xdr:colOff>66675</xdr:colOff>
      <xdr:row>56</xdr:row>
      <xdr:rowOff>85724</xdr:rowOff>
    </xdr:to>
    <xdr:sp macro="" textlink="">
      <xdr:nvSpPr>
        <xdr:cNvPr id="3" name="Text Box 1"/>
        <xdr:cNvSpPr txBox="1">
          <a:spLocks noChangeArrowheads="1"/>
        </xdr:cNvSpPr>
      </xdr:nvSpPr>
      <xdr:spPr bwMode="auto">
        <a:xfrm>
          <a:off x="247650" y="7315198"/>
          <a:ext cx="7134225" cy="344805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GB" sz="1000" b="1" i="0" u="none" strike="noStrike" baseline="0">
              <a:solidFill>
                <a:srgbClr val="0000FF"/>
              </a:solidFill>
              <a:latin typeface="Arial"/>
              <a:cs typeface="Arial"/>
            </a:rPr>
            <a:t>How to use these emission factors:</a:t>
          </a:r>
        </a:p>
        <a:p>
          <a:pPr algn="l" rtl="0">
            <a:lnSpc>
              <a:spcPts val="1100"/>
            </a:lnSpc>
            <a:defRPr sz="1000"/>
          </a:pPr>
          <a:endParaRPr lang="en-GB" sz="1000" b="1" i="0" u="none" strike="noStrike" baseline="0">
            <a:solidFill>
              <a:sysClr val="windowText" lastClr="000000"/>
            </a:solidFill>
            <a:latin typeface="Arial"/>
            <a:ea typeface="+mn-ea"/>
            <a:cs typeface="Arial"/>
          </a:endParaRPr>
        </a:p>
        <a:p>
          <a:pPr algn="l" rtl="0">
            <a:lnSpc>
              <a:spcPts val="1100"/>
            </a:lnSpc>
            <a:defRPr sz="1000"/>
          </a:pPr>
          <a:r>
            <a:rPr lang="en-US" sz="1000">
              <a:solidFill>
                <a:sysClr val="windowText" lastClr="000000"/>
              </a:solidFill>
              <a:latin typeface="Arial" pitchFamily="34" charset="0"/>
              <a:ea typeface="+mn-ea"/>
              <a:cs typeface="Arial" pitchFamily="34" charset="0"/>
            </a:rPr>
            <a:t>Average speed is used to derive the emission factors for these vehicle types. </a:t>
          </a:r>
        </a:p>
        <a:p>
          <a:pPr marL="0" indent="0" algn="l" rtl="0">
            <a:lnSpc>
              <a:spcPts val="1100"/>
            </a:lnSpc>
            <a:defRPr sz="1000"/>
          </a:pPr>
          <a:endParaRPr lang="en-GB" sz="1000" b="0" i="0" u="none" strike="noStrike" baseline="0">
            <a:solidFill>
              <a:sysClr val="windowText" lastClr="000000"/>
            </a:solidFill>
            <a:latin typeface="Arial"/>
            <a:ea typeface="+mn-ea"/>
            <a:cs typeface="Arial"/>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sz="1000" b="0" i="0" baseline="0">
              <a:solidFill>
                <a:sysClr val="windowText" lastClr="000000"/>
              </a:solidFill>
              <a:latin typeface="Arial" pitchFamily="34" charset="0"/>
              <a:ea typeface="+mn-ea"/>
              <a:cs typeface="Arial" pitchFamily="34" charset="0"/>
            </a:rPr>
            <a:t>The default in this spreadsheet is for the vehicle types to be assigned the same average speed within each worksheet, which should be assigned in </a:t>
          </a:r>
          <a:r>
            <a:rPr lang="en-US" sz="1000" b="0" i="0" u="none" strike="noStrike" baseline="0">
              <a:solidFill>
                <a:sysClr val="windowText" lastClr="000000"/>
              </a:solidFill>
              <a:latin typeface="Arial" pitchFamily="34" charset="0"/>
              <a:ea typeface="+mn-ea"/>
              <a:cs typeface="Arial" pitchFamily="34" charset="0"/>
            </a:rPr>
            <a:t>cell P2 for </a:t>
          </a:r>
          <a:r>
            <a:rPr lang="en-US" sz="1000" b="1" i="0" u="none" strike="noStrike" baseline="0">
              <a:solidFill>
                <a:sysClr val="windowText" lastClr="000000"/>
              </a:solidFill>
              <a:latin typeface="Arial" pitchFamily="34" charset="0"/>
              <a:ea typeface="+mn-ea"/>
              <a:cs typeface="Arial" pitchFamily="34" charset="0"/>
            </a:rPr>
            <a:t>Cars, LGVs and Motorcycles </a:t>
          </a:r>
          <a:r>
            <a:rPr lang="en-US" sz="1000" b="0" i="0" u="none" strike="noStrike" baseline="0">
              <a:solidFill>
                <a:sysClr val="windowText" lastClr="000000"/>
              </a:solidFill>
              <a:latin typeface="Arial" pitchFamily="34" charset="0"/>
              <a:ea typeface="+mn-ea"/>
              <a:cs typeface="Arial" pitchFamily="34" charset="0"/>
            </a:rPr>
            <a:t>and in cell O2 for </a:t>
          </a:r>
          <a:r>
            <a:rPr lang="en-US" sz="1000" b="1" i="0" u="none" strike="noStrike" baseline="0">
              <a:solidFill>
                <a:sysClr val="windowText" lastClr="000000"/>
              </a:solidFill>
              <a:latin typeface="Arial" pitchFamily="34" charset="0"/>
              <a:ea typeface="+mn-ea"/>
              <a:cs typeface="Arial" pitchFamily="34" charset="0"/>
            </a:rPr>
            <a:t>HGVs &amp; Buses</a:t>
          </a:r>
          <a:r>
            <a:rPr lang="en-US" sz="1000" b="0" i="0" u="none" strike="noStrike" baseline="0">
              <a:solidFill>
                <a:sysClr val="windowText" lastClr="000000"/>
              </a:solidFill>
              <a:latin typeface="Arial" pitchFamily="34" charset="0"/>
              <a:ea typeface="+mn-ea"/>
              <a:cs typeface="Arial" pitchFamily="34" charset="0"/>
            </a:rPr>
            <a:t>.  The emission factors are then provided in columns Q and P respectively.</a:t>
          </a:r>
        </a:p>
        <a:p>
          <a:pPr marL="0" marR="0" indent="0" algn="l" defTabSz="914400" rtl="0" eaLnBrk="1" fontAlgn="auto" latinLnBrk="0" hangingPunct="1">
            <a:lnSpc>
              <a:spcPts val="1100"/>
            </a:lnSpc>
            <a:spcBef>
              <a:spcPts val="0"/>
            </a:spcBef>
            <a:spcAft>
              <a:spcPts val="0"/>
            </a:spcAft>
            <a:buClrTx/>
            <a:buSzTx/>
            <a:buFontTx/>
            <a:buNone/>
            <a:tabLst/>
            <a:defRPr sz="1000"/>
          </a:pPr>
          <a:endParaRPr lang="en-US" sz="1000" b="0" i="0" u="none" strike="noStrike" baseline="0">
            <a:solidFill>
              <a:sysClr val="windowText" lastClr="000000"/>
            </a:solidFill>
            <a:latin typeface="Arial" pitchFamily="34" charset="0"/>
            <a:ea typeface="+mn-ea"/>
            <a:cs typeface="Arial" pitchFamily="34" charset="0"/>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sz="1000" b="0" i="0" u="none" strike="noStrike" baseline="0">
              <a:solidFill>
                <a:sysClr val="windowText" lastClr="000000"/>
              </a:solidFill>
              <a:latin typeface="Arial" pitchFamily="34" charset="0"/>
              <a:ea typeface="+mn-ea"/>
              <a:cs typeface="Arial" pitchFamily="34" charset="0"/>
            </a:rPr>
            <a:t>Correction factors for degradation of emissions from petrol cars and LGVs are calculated in two worked example areas of the worksheet </a:t>
          </a:r>
          <a:r>
            <a:rPr lang="en-US" sz="1000" b="1" i="0" u="none" strike="noStrike" baseline="0">
              <a:solidFill>
                <a:sysClr val="windowText" lastClr="000000"/>
              </a:solidFill>
              <a:latin typeface="Arial" pitchFamily="34" charset="0"/>
              <a:ea typeface="+mn-ea"/>
              <a:cs typeface="Arial" pitchFamily="34" charset="0"/>
            </a:rPr>
            <a:t>Emis Gegradation </a:t>
          </a:r>
          <a:r>
            <a:rPr lang="en-US" sz="1000" b="0" i="0" u="none" strike="noStrike" baseline="0">
              <a:solidFill>
                <a:sysClr val="windowText" lastClr="000000"/>
              </a:solidFill>
              <a:latin typeface="Arial" pitchFamily="34" charset="0"/>
              <a:ea typeface="+mn-ea"/>
              <a:cs typeface="Arial" pitchFamily="34" charset="0"/>
            </a:rPr>
            <a:t>using accumulated mileage data provided by the user.  Sources of average accumulated mileage data by year for each vehicle type are provided.</a:t>
          </a:r>
        </a:p>
        <a:p>
          <a:pPr marL="0" marR="0" indent="0" algn="l" defTabSz="914400" rtl="0" eaLnBrk="1" fontAlgn="auto" latinLnBrk="0" hangingPunct="1">
            <a:lnSpc>
              <a:spcPts val="1100"/>
            </a:lnSpc>
            <a:spcBef>
              <a:spcPts val="0"/>
            </a:spcBef>
            <a:spcAft>
              <a:spcPts val="0"/>
            </a:spcAft>
            <a:buClrTx/>
            <a:buSzTx/>
            <a:buFontTx/>
            <a:buNone/>
            <a:tabLst/>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baseline="0">
              <a:latin typeface="Arial" pitchFamily="34" charset="0"/>
              <a:ea typeface="+mn-ea"/>
              <a:cs typeface="Arial" pitchFamily="34" charset="0"/>
            </a:rPr>
            <a:t>The emission factors must be further corrected by multiplying with a fuel scaling factor (see above).  Go to </a:t>
          </a:r>
          <a:r>
            <a:rPr lang="en-GB" sz="1000" b="0" i="0" baseline="0">
              <a:solidFill>
                <a:srgbClr val="0070C0"/>
              </a:solidFill>
              <a:latin typeface="Arial" pitchFamily="34" charset="0"/>
              <a:ea typeface="+mn-ea"/>
              <a:cs typeface="Arial" pitchFamily="34" charset="0"/>
            </a:rPr>
            <a:t>http://www.dft.gov.uk/publications/road-vehicle-emission-factors-2009/ </a:t>
          </a:r>
          <a:r>
            <a:rPr lang="en-GB" sz="1000" b="0" i="0" baseline="0">
              <a:latin typeface="Arial" pitchFamily="34" charset="0"/>
              <a:ea typeface="+mn-ea"/>
              <a:cs typeface="Arial" pitchFamily="34" charset="0"/>
            </a:rPr>
            <a:t>.  Go to the spreadsheet </a:t>
          </a:r>
          <a:r>
            <a:rPr lang="en-GB" sz="1000" b="1" i="0" baseline="0">
              <a:latin typeface="Arial" pitchFamily="34" charset="0"/>
              <a:ea typeface="+mn-ea"/>
              <a:cs typeface="Arial" pitchFamily="34" charset="0"/>
            </a:rPr>
            <a:t>'Mileage fuel scaling factors.xls' </a:t>
          </a:r>
          <a:r>
            <a:rPr lang="en-GB" sz="1000" b="0" i="0" baseline="0">
              <a:latin typeface="Arial" pitchFamily="34" charset="0"/>
              <a:ea typeface="+mn-ea"/>
              <a:cs typeface="Arial" pitchFamily="34" charset="0"/>
            </a:rPr>
            <a:t>and the tab </a:t>
          </a:r>
          <a:r>
            <a:rPr lang="en-GB" sz="1000" b="1" i="0" baseline="0">
              <a:latin typeface="Arial" pitchFamily="34" charset="0"/>
              <a:ea typeface="+mn-ea"/>
              <a:cs typeface="Arial" pitchFamily="34" charset="0"/>
            </a:rPr>
            <a:t>'main'.  </a:t>
          </a:r>
          <a:r>
            <a:rPr lang="en-GB" sz="1000" b="0" i="0" baseline="0">
              <a:latin typeface="Arial" pitchFamily="34" charset="0"/>
              <a:ea typeface="+mn-ea"/>
              <a:cs typeface="Arial" pitchFamily="34" charset="0"/>
            </a:rPr>
            <a:t>Select the model year of interest from the drop down menu at cell D3.  The NOx fuel scaling factor for each vehicle Euro standard relevant for that year will be found in column R.  </a:t>
          </a:r>
          <a:r>
            <a:rPr lang="en-GB" sz="1000" b="1" i="0" baseline="0">
              <a:latin typeface="Arial" pitchFamily="34" charset="0"/>
              <a:ea typeface="+mn-ea"/>
              <a:cs typeface="Arial" pitchFamily="34" charset="0"/>
            </a:rPr>
            <a:t>DO NOT USE THE MILEAGE SCALING FACTORS FOR NOx ON THIS SHEET.  For NOx, t</a:t>
          </a:r>
          <a:r>
            <a:rPr lang="en-GB" sz="1000" b="0" i="0" baseline="0">
              <a:latin typeface="Arial" pitchFamily="34" charset="0"/>
              <a:ea typeface="+mn-ea"/>
              <a:cs typeface="Arial" pitchFamily="34" charset="0"/>
            </a:rPr>
            <a:t>hese are updated by emission degradation factors described in the Emis Degradation sheet provided here</a:t>
          </a:r>
          <a:r>
            <a:rPr lang="en-GB" sz="1000" b="1" i="0" baseline="0">
              <a:latin typeface="Arial" pitchFamily="34" charset="0"/>
              <a:ea typeface="+mn-ea"/>
              <a:cs typeface="Arial" pitchFamily="34" charset="0"/>
            </a:rPr>
            <a:t>.</a:t>
          </a:r>
        </a:p>
        <a:p>
          <a:pPr algn="l" rtl="0">
            <a:lnSpc>
              <a:spcPts val="1100"/>
            </a:lnSpc>
            <a:defRPr sz="1000"/>
          </a:pPr>
          <a:endParaRPr lang="en-GB" sz="1000" b="1" i="0" u="none" strike="noStrike" baseline="0">
            <a:solidFill>
              <a:srgbClr val="000000"/>
            </a:solidFill>
            <a:latin typeface="Arial" pitchFamily="34" charset="0"/>
            <a:ea typeface="+mn-ea"/>
            <a:cs typeface="Arial" pitchFamily="34" charset="0"/>
          </a:endParaRPr>
        </a:p>
        <a:p>
          <a:pPr algn="l" rtl="0">
            <a:lnSpc>
              <a:spcPts val="1100"/>
            </a:lnSpc>
            <a:defRPr sz="1000"/>
          </a:pPr>
          <a:r>
            <a:rPr lang="en-GB" sz="1000" b="1" i="0" u="none" strike="noStrike" baseline="0">
              <a:solidFill>
                <a:srgbClr val="000000"/>
              </a:solidFill>
              <a:latin typeface="Arial" pitchFamily="34" charset="0"/>
              <a:ea typeface="+mn-ea"/>
              <a:cs typeface="Arial" pitchFamily="34" charset="0"/>
            </a:rPr>
            <a:t>The final emission factor will be the emission factor derived from the speed-emission factor equations given here multiplied by a degradation factor (for petrol cars and LGVs only), as demonstrated on the Emis Degradation sheet multiplied by the fuel scaling factor.</a:t>
          </a:r>
          <a:endParaRPr lang="en-GB" sz="1000" b="0" i="0" u="none" strike="noStrike" baseline="0">
            <a:solidFill>
              <a:srgbClr val="000000"/>
            </a:solidFill>
            <a:latin typeface="Arial" pitchFamily="34" charset="0"/>
            <a:cs typeface="Arial" pitchFamily="34" charset="0"/>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40822</xdr:rowOff>
    </xdr:from>
    <xdr:to>
      <xdr:col>11</xdr:col>
      <xdr:colOff>333375</xdr:colOff>
      <xdr:row>32</xdr:row>
      <xdr:rowOff>81643</xdr:rowOff>
    </xdr:to>
    <xdr:sp macro="" textlink="">
      <xdr:nvSpPr>
        <xdr:cNvPr id="2" name="TextBox 1"/>
        <xdr:cNvSpPr txBox="1"/>
      </xdr:nvSpPr>
      <xdr:spPr>
        <a:xfrm>
          <a:off x="38100" y="830036"/>
          <a:ext cx="10772775" cy="575582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b="0" i="0">
              <a:solidFill>
                <a:srgbClr val="0070C0"/>
              </a:solidFill>
              <a:latin typeface="+mn-lt"/>
              <a:ea typeface="+mn-ea"/>
              <a:cs typeface="+mn-cs"/>
            </a:rPr>
            <a:t>Please</a:t>
          </a:r>
          <a:r>
            <a:rPr lang="en-GB" sz="1200" b="0" i="0" baseline="0">
              <a:solidFill>
                <a:srgbClr val="0070C0"/>
              </a:solidFill>
              <a:latin typeface="+mn-lt"/>
              <a:ea typeface="+mn-ea"/>
              <a:cs typeface="+mn-cs"/>
            </a:rPr>
            <a:t> note the following text are adopted from the 2009 EMEP/ EEA emission inventory guidebook, pages 43-44, 87-89 (</a:t>
          </a:r>
          <a:r>
            <a:rPr lang="en-GB" sz="1200" b="0" i="0" u="sng" baseline="0">
              <a:solidFill>
                <a:srgbClr val="0070C0"/>
              </a:solidFill>
              <a:latin typeface="+mn-lt"/>
              <a:ea typeface="+mn-ea"/>
              <a:cs typeface="+mn-cs"/>
            </a:rPr>
            <a:t>http://www.eea.europa.eu/publications/emep-eea-emission-inventory-guidebook-2009/part-b-sectoral-guidance-chapters/1-energy/1-a-combustion/1-a-3-b-road-transport.pdf</a:t>
          </a:r>
          <a:r>
            <a:rPr lang="en-GB" sz="1200" b="0" i="0" baseline="0">
              <a:solidFill>
                <a:srgbClr val="0070C0"/>
              </a:solidFill>
              <a:latin typeface="+mn-lt"/>
              <a:ea typeface="+mn-ea"/>
              <a:cs typeface="+mn-cs"/>
            </a:rPr>
            <a:t>)</a:t>
          </a:r>
          <a:endParaRPr lang="en-GB" sz="1200" b="0" i="0">
            <a:solidFill>
              <a:srgbClr val="0070C0"/>
            </a:solidFill>
            <a:latin typeface="+mn-lt"/>
            <a:ea typeface="+mn-ea"/>
            <a:cs typeface="+mn-cs"/>
          </a:endParaRPr>
        </a:p>
        <a:p>
          <a:endParaRPr lang="en-GB" sz="1200" b="1" i="1">
            <a:solidFill>
              <a:schemeClr val="dk1"/>
            </a:solidFill>
            <a:latin typeface="+mn-lt"/>
            <a:ea typeface="+mn-ea"/>
            <a:cs typeface="+mn-cs"/>
          </a:endParaRPr>
        </a:p>
        <a:p>
          <a:r>
            <a:rPr lang="en-GB" sz="1200" b="1" i="0">
              <a:solidFill>
                <a:schemeClr val="dk1"/>
              </a:solidFill>
              <a:latin typeface="+mn-lt"/>
              <a:ea typeface="+mn-ea"/>
              <a:cs typeface="+mn-cs"/>
            </a:rPr>
            <a:t>Emission degradation due to vehicle age/accumulated mileage</a:t>
          </a:r>
          <a:endParaRPr lang="en-GB" sz="1200" i="0">
            <a:solidFill>
              <a:schemeClr val="dk1"/>
            </a:solidFill>
            <a:latin typeface="+mn-lt"/>
            <a:ea typeface="+mn-ea"/>
            <a:cs typeface="+mn-cs"/>
          </a:endParaRPr>
        </a:p>
        <a:p>
          <a:r>
            <a:rPr lang="en-GB" sz="1200">
              <a:solidFill>
                <a:schemeClr val="dk1"/>
              </a:solidFill>
              <a:latin typeface="+mn-lt"/>
              <a:ea typeface="+mn-ea"/>
              <a:cs typeface="+mn-cs"/>
            </a:rPr>
            <a:t>Correction factors need to be applied to the baseline emission factors for petrol cars and light duty vehicles to account for different vehicle age. These correction factors are given by equation:</a:t>
          </a:r>
        </a:p>
        <a:p>
          <a:r>
            <a:rPr lang="en-GB" sz="1200">
              <a:solidFill>
                <a:schemeClr val="dk1"/>
              </a:solidFill>
              <a:latin typeface="+mn-lt"/>
              <a:ea typeface="+mn-ea"/>
              <a:cs typeface="+mn-cs"/>
            </a:rPr>
            <a:t> </a:t>
          </a:r>
        </a:p>
        <a:p>
          <a:pPr algn="ctr"/>
          <a:r>
            <a:rPr lang="en-GB" sz="1200" b="1">
              <a:solidFill>
                <a:schemeClr val="dk1"/>
              </a:solidFill>
              <a:latin typeface="+mn-lt"/>
              <a:ea typeface="+mn-ea"/>
              <a:cs typeface="+mn-cs"/>
            </a:rPr>
            <a:t>MC</a:t>
          </a:r>
          <a:r>
            <a:rPr lang="en-GB" sz="1200" b="1" baseline="-25000">
              <a:solidFill>
                <a:schemeClr val="dk1"/>
              </a:solidFill>
              <a:latin typeface="+mn-lt"/>
              <a:ea typeface="+mn-ea"/>
              <a:cs typeface="+mn-cs"/>
            </a:rPr>
            <a:t>C,i</a:t>
          </a:r>
          <a:r>
            <a:rPr lang="en-GB" sz="1200" b="1">
              <a:solidFill>
                <a:schemeClr val="dk1"/>
              </a:solidFill>
              <a:latin typeface="+mn-lt"/>
              <a:ea typeface="+mn-ea"/>
              <a:cs typeface="+mn-cs"/>
            </a:rPr>
            <a:t> = A</a:t>
          </a:r>
          <a:r>
            <a:rPr lang="en-GB" sz="1200" b="1" baseline="-25000">
              <a:solidFill>
                <a:schemeClr val="dk1"/>
              </a:solidFill>
              <a:latin typeface="+mn-lt"/>
              <a:ea typeface="+mn-ea"/>
              <a:cs typeface="+mn-cs"/>
            </a:rPr>
            <a:t>M</a:t>
          </a:r>
          <a:r>
            <a:rPr lang="en-GB" sz="1200" b="1">
              <a:solidFill>
                <a:schemeClr val="dk1"/>
              </a:solidFill>
              <a:latin typeface="+mn-lt"/>
              <a:ea typeface="+mn-ea"/>
              <a:cs typeface="+mn-cs"/>
            </a:rPr>
            <a:t> × M</a:t>
          </a:r>
          <a:r>
            <a:rPr lang="en-GB" sz="1200" b="1" baseline="-25000">
              <a:solidFill>
                <a:schemeClr val="dk1"/>
              </a:solidFill>
              <a:latin typeface="+mn-lt"/>
              <a:ea typeface="+mn-ea"/>
              <a:cs typeface="+mn-cs"/>
            </a:rPr>
            <a:t>MEAN</a:t>
          </a:r>
          <a:r>
            <a:rPr lang="en-GB" sz="1200" b="1">
              <a:solidFill>
                <a:schemeClr val="dk1"/>
              </a:solidFill>
              <a:latin typeface="+mn-lt"/>
              <a:ea typeface="+mn-ea"/>
              <a:cs typeface="+mn-cs"/>
            </a:rPr>
            <a:t> + B</a:t>
          </a:r>
          <a:r>
            <a:rPr lang="en-GB" sz="1200" b="1" baseline="-25000">
              <a:solidFill>
                <a:schemeClr val="dk1"/>
              </a:solidFill>
              <a:latin typeface="+mn-lt"/>
              <a:ea typeface="+mn-ea"/>
              <a:cs typeface="+mn-cs"/>
            </a:rPr>
            <a:t>M</a:t>
          </a:r>
          <a:r>
            <a:rPr lang="en-GB" sz="1200" b="1">
              <a:solidFill>
                <a:schemeClr val="dk1"/>
              </a:solidFill>
              <a:latin typeface="+mn-lt"/>
              <a:ea typeface="+mn-ea"/>
              <a:cs typeface="+mn-cs"/>
            </a:rPr>
            <a:t> </a:t>
          </a:r>
        </a:p>
        <a:p>
          <a:r>
            <a:rPr lang="en-GB" sz="1200">
              <a:solidFill>
                <a:schemeClr val="dk1"/>
              </a:solidFill>
              <a:latin typeface="+mn-lt"/>
              <a:ea typeface="+mn-ea"/>
              <a:cs typeface="+mn-cs"/>
            </a:rPr>
            <a:t> </a:t>
          </a:r>
        </a:p>
        <a:p>
          <a:r>
            <a:rPr lang="en-GB" sz="1200">
              <a:solidFill>
                <a:schemeClr val="dk1"/>
              </a:solidFill>
              <a:latin typeface="+mn-lt"/>
              <a:ea typeface="+mn-ea"/>
              <a:cs typeface="+mn-cs"/>
            </a:rPr>
            <a:t>where,</a:t>
          </a:r>
        </a:p>
        <a:p>
          <a:r>
            <a:rPr lang="en-GB" sz="1200">
              <a:solidFill>
                <a:schemeClr val="dk1"/>
              </a:solidFill>
              <a:latin typeface="+mn-lt"/>
              <a:ea typeface="+mn-ea"/>
              <a:cs typeface="+mn-cs"/>
            </a:rPr>
            <a:t> </a:t>
          </a:r>
        </a:p>
        <a:p>
          <a:r>
            <a:rPr lang="en-GB" sz="1200">
              <a:solidFill>
                <a:schemeClr val="dk1"/>
              </a:solidFill>
              <a:latin typeface="+mn-lt"/>
              <a:ea typeface="+mn-ea"/>
              <a:cs typeface="+mn-cs"/>
            </a:rPr>
            <a:t>MC</a:t>
          </a:r>
          <a:r>
            <a:rPr lang="en-GB" sz="1200" baseline="-25000">
              <a:solidFill>
                <a:schemeClr val="dk1"/>
              </a:solidFill>
              <a:latin typeface="+mn-lt"/>
              <a:ea typeface="+mn-ea"/>
              <a:cs typeface="+mn-cs"/>
            </a:rPr>
            <a:t>C,i</a:t>
          </a:r>
          <a:r>
            <a:rPr lang="en-GB" sz="1200">
              <a:solidFill>
                <a:schemeClr val="dk1"/>
              </a:solidFill>
              <a:latin typeface="+mn-lt"/>
              <a:ea typeface="+mn-ea"/>
              <a:cs typeface="+mn-cs"/>
            </a:rPr>
            <a:t> = the mileage correction factor for a given mileage (</a:t>
          </a:r>
          <a:r>
            <a:rPr lang="en-GB" sz="1200" i="1">
              <a:solidFill>
                <a:schemeClr val="dk1"/>
              </a:solidFill>
              <a:latin typeface="+mn-lt"/>
              <a:ea typeface="+mn-ea"/>
              <a:cs typeface="+mn-cs"/>
            </a:rPr>
            <a:t>M</a:t>
          </a:r>
          <a:r>
            <a:rPr lang="en-GB" sz="1200" i="1" baseline="-25000">
              <a:solidFill>
                <a:schemeClr val="dk1"/>
              </a:solidFill>
              <a:latin typeface="+mn-lt"/>
              <a:ea typeface="+mn-ea"/>
              <a:cs typeface="+mn-cs"/>
            </a:rPr>
            <a:t>av</a:t>
          </a:r>
          <a:r>
            <a:rPr lang="en-GB" sz="1200">
              <a:solidFill>
                <a:schemeClr val="dk1"/>
              </a:solidFill>
              <a:latin typeface="+mn-lt"/>
              <a:ea typeface="+mn-ea"/>
              <a:cs typeface="+mn-cs"/>
            </a:rPr>
            <a:t>) and pollutant </a:t>
          </a:r>
          <a:r>
            <a:rPr lang="en-GB" sz="1200" i="1">
              <a:solidFill>
                <a:schemeClr val="dk1"/>
              </a:solidFill>
              <a:latin typeface="+mn-lt"/>
              <a:ea typeface="+mn-ea"/>
              <a:cs typeface="+mn-cs"/>
            </a:rPr>
            <a:t>i,</a:t>
          </a:r>
          <a:endParaRPr lang="en-GB" sz="1200">
            <a:solidFill>
              <a:schemeClr val="dk1"/>
            </a:solidFill>
            <a:latin typeface="+mn-lt"/>
            <a:ea typeface="+mn-ea"/>
            <a:cs typeface="+mn-cs"/>
          </a:endParaRPr>
        </a:p>
        <a:p>
          <a:r>
            <a:rPr lang="en-GB" sz="1200">
              <a:solidFill>
                <a:schemeClr val="dk1"/>
              </a:solidFill>
              <a:latin typeface="+mn-lt"/>
              <a:ea typeface="+mn-ea"/>
              <a:cs typeface="+mn-cs"/>
            </a:rPr>
            <a:t> </a:t>
          </a:r>
        </a:p>
        <a:p>
          <a:r>
            <a:rPr lang="en-GB" sz="1200">
              <a:solidFill>
                <a:schemeClr val="dk1"/>
              </a:solidFill>
              <a:latin typeface="+mn-lt"/>
              <a:ea typeface="+mn-ea"/>
              <a:cs typeface="+mn-cs"/>
            </a:rPr>
            <a:t>M</a:t>
          </a:r>
          <a:r>
            <a:rPr lang="en-GB" sz="1200" baseline="-25000">
              <a:solidFill>
                <a:schemeClr val="dk1"/>
              </a:solidFill>
              <a:latin typeface="+mn-lt"/>
              <a:ea typeface="+mn-ea"/>
              <a:cs typeface="+mn-cs"/>
            </a:rPr>
            <a:t>MEAN</a:t>
          </a:r>
          <a:r>
            <a:rPr lang="en-GB" sz="1200">
              <a:solidFill>
                <a:schemeClr val="dk1"/>
              </a:solidFill>
              <a:latin typeface="+mn-lt"/>
              <a:ea typeface="+mn-ea"/>
              <a:cs typeface="+mn-cs"/>
            </a:rPr>
            <a:t> = the mean fleet mileage of vehicles for which correction is applied,</a:t>
          </a:r>
        </a:p>
        <a:p>
          <a:r>
            <a:rPr lang="en-GB" sz="1200">
              <a:solidFill>
                <a:schemeClr val="dk1"/>
              </a:solidFill>
              <a:latin typeface="+mn-lt"/>
              <a:ea typeface="+mn-ea"/>
              <a:cs typeface="+mn-cs"/>
            </a:rPr>
            <a:t> </a:t>
          </a:r>
        </a:p>
        <a:p>
          <a:r>
            <a:rPr lang="en-GB" sz="1200">
              <a:solidFill>
                <a:schemeClr val="dk1"/>
              </a:solidFill>
              <a:latin typeface="+mn-lt"/>
              <a:ea typeface="+mn-ea"/>
              <a:cs typeface="+mn-cs"/>
            </a:rPr>
            <a:t>A</a:t>
          </a:r>
          <a:r>
            <a:rPr lang="en-GB" sz="1200" baseline="-25000">
              <a:solidFill>
                <a:schemeClr val="dk1"/>
              </a:solidFill>
              <a:latin typeface="+mn-lt"/>
              <a:ea typeface="+mn-ea"/>
              <a:cs typeface="+mn-cs"/>
            </a:rPr>
            <a:t>M</a:t>
          </a:r>
          <a:r>
            <a:rPr lang="en-GB" sz="1200">
              <a:solidFill>
                <a:schemeClr val="dk1"/>
              </a:solidFill>
              <a:latin typeface="+mn-lt"/>
              <a:ea typeface="+mn-ea"/>
              <a:cs typeface="+mn-cs"/>
            </a:rPr>
            <a:t> = the degradation of the emission performance per kilometre,</a:t>
          </a:r>
        </a:p>
        <a:p>
          <a:r>
            <a:rPr lang="en-GB" sz="1200">
              <a:solidFill>
                <a:schemeClr val="dk1"/>
              </a:solidFill>
              <a:latin typeface="+mn-lt"/>
              <a:ea typeface="+mn-ea"/>
              <a:cs typeface="+mn-cs"/>
            </a:rPr>
            <a:t> </a:t>
          </a:r>
        </a:p>
        <a:p>
          <a:r>
            <a:rPr lang="en-GB" sz="1200">
              <a:solidFill>
                <a:schemeClr val="dk1"/>
              </a:solidFill>
              <a:latin typeface="+mn-lt"/>
              <a:ea typeface="+mn-ea"/>
              <a:cs typeface="+mn-cs"/>
            </a:rPr>
            <a:t>B</a:t>
          </a:r>
          <a:r>
            <a:rPr lang="en-GB" sz="1200" baseline="-25000">
              <a:solidFill>
                <a:schemeClr val="dk1"/>
              </a:solidFill>
              <a:latin typeface="+mn-lt"/>
              <a:ea typeface="+mn-ea"/>
              <a:cs typeface="+mn-cs"/>
            </a:rPr>
            <a:t>M</a:t>
          </a:r>
          <a:r>
            <a:rPr lang="en-GB" sz="1200">
              <a:solidFill>
                <a:schemeClr val="dk1"/>
              </a:solidFill>
              <a:latin typeface="+mn-lt"/>
              <a:ea typeface="+mn-ea"/>
              <a:cs typeface="+mn-cs"/>
            </a:rPr>
            <a:t> = the emission level of a fleet of brand new vehicles.</a:t>
          </a:r>
        </a:p>
        <a:p>
          <a:r>
            <a:rPr lang="en-GB" sz="1200">
              <a:solidFill>
                <a:schemeClr val="dk1"/>
              </a:solidFill>
              <a:latin typeface="+mn-lt"/>
              <a:ea typeface="+mn-ea"/>
              <a:cs typeface="+mn-cs"/>
            </a:rPr>
            <a:t> </a:t>
          </a:r>
        </a:p>
        <a:p>
          <a:r>
            <a:rPr lang="en-GB" sz="1200">
              <a:solidFill>
                <a:schemeClr val="dk1"/>
              </a:solidFill>
              <a:latin typeface="+mn-lt"/>
              <a:ea typeface="+mn-ea"/>
              <a:cs typeface="+mn-cs"/>
            </a:rPr>
            <a:t>B</a:t>
          </a:r>
          <a:r>
            <a:rPr lang="en-GB" sz="1200" baseline="-25000">
              <a:solidFill>
                <a:schemeClr val="dk1"/>
              </a:solidFill>
              <a:latin typeface="+mn-lt"/>
              <a:ea typeface="+mn-ea"/>
              <a:cs typeface="+mn-cs"/>
            </a:rPr>
            <a:t>M</a:t>
          </a:r>
          <a:r>
            <a:rPr lang="en-GB" sz="1200">
              <a:solidFill>
                <a:schemeClr val="dk1"/>
              </a:solidFill>
              <a:latin typeface="+mn-lt"/>
              <a:ea typeface="+mn-ea"/>
              <a:cs typeface="+mn-cs"/>
            </a:rPr>
            <a:t> is lower than 1 because the correction factors are determined using vehicle fleets with mileages ranging from 16 000 to 50 000 km. Therefore, brand new vehicles are expected to emit less than the sample of vehicles upon which the emission factors are based. </a:t>
          </a:r>
          <a:r>
            <a:rPr lang="en-GB" sz="1200" u="sng">
              <a:solidFill>
                <a:schemeClr val="dk1"/>
              </a:solidFill>
              <a:latin typeface="+mn-lt"/>
              <a:ea typeface="+mn-ea"/>
              <a:cs typeface="+mn-cs"/>
            </a:rPr>
            <a:t>It is assumed that emissions do not further degrade above 120 000 km for Euro 1 and Euro 2 vehicles, and above 160 000 km for Euro 3 and Euro 4 vehicles.</a:t>
          </a:r>
        </a:p>
        <a:p>
          <a:endParaRPr lang="en-GB" sz="1200">
            <a:solidFill>
              <a:schemeClr val="dk1"/>
            </a:solidFill>
            <a:latin typeface="+mn-lt"/>
            <a:ea typeface="+mn-ea"/>
            <a:cs typeface="+mn-cs"/>
          </a:endParaRPr>
        </a:p>
        <a:p>
          <a:r>
            <a:rPr lang="en-GB" sz="1200">
              <a:solidFill>
                <a:schemeClr val="dk1"/>
              </a:solidFill>
              <a:latin typeface="+mn-lt"/>
              <a:ea typeface="+mn-ea"/>
              <a:cs typeface="+mn-cs"/>
            </a:rPr>
            <a:t>The effect of average speed on emission degradation is taken into account by combining the observed degradation lines over the two driving modes (urban, rural). It is assumed that for speeds outside the region defined by the average speed of urban driving (19 km/h) and rural driving </a:t>
          </a:r>
          <a:r>
            <a:rPr lang="en-GB" sz="1200" baseline="0" smtClean="0">
              <a:solidFill>
                <a:schemeClr val="dk1"/>
              </a:solidFill>
              <a:latin typeface="+mn-lt"/>
              <a:ea typeface="+mn-ea"/>
              <a:cs typeface="+mn-cs"/>
            </a:rPr>
            <a:t>(63 km/h), the degradation is independent of speed. Linear interpolation between the two values provides the emission degradation in the intermediate speed region.</a:t>
          </a:r>
          <a:endParaRPr lang="en-GB" sz="1200">
            <a:solidFill>
              <a:schemeClr val="dk1"/>
            </a:solidFill>
            <a:latin typeface="+mn-lt"/>
            <a:ea typeface="+mn-ea"/>
            <a:cs typeface="+mn-cs"/>
          </a:endParaRPr>
        </a:p>
        <a:p>
          <a:endParaRPr lang="en-GB" sz="1200"/>
        </a:p>
        <a:p>
          <a:r>
            <a:rPr lang="en-GB" sz="1200" b="1"/>
            <a:t>Emission</a:t>
          </a:r>
          <a:r>
            <a:rPr lang="en-GB" sz="1200" b="1" baseline="0"/>
            <a:t> degradation functions</a:t>
          </a:r>
        </a:p>
        <a:p>
          <a:pPr>
            <a:lnSpc>
              <a:spcPts val="1200"/>
            </a:lnSpc>
          </a:pPr>
          <a:r>
            <a:rPr lang="en-GB" sz="1200" b="0" baseline="0"/>
            <a:t>Table 1 and Table 2 provide the degradation functions to be used for simulating the deterioraion of emission performance of petrol cars and LGVs equipped with three way catalysts.  Table 3 provides equation to adjust the correction factors derived from Table 1 or Table 2 if the speed of concern is between 19 to 63 km/h.</a:t>
          </a:r>
        </a:p>
        <a:p>
          <a:endParaRPr lang="en-GB" sz="1100" b="0"/>
        </a:p>
        <a:p>
          <a:pPr>
            <a:lnSpc>
              <a:spcPts val="1100"/>
            </a:lnSpc>
          </a:pPr>
          <a:endParaRPr lang="en-GB" sz="1100" b="0"/>
        </a:p>
      </xdr:txBody>
    </xdr:sp>
    <xdr:clientData/>
  </xdr:twoCellAnchor>
  <xdr:twoCellAnchor>
    <xdr:from>
      <xdr:col>0</xdr:col>
      <xdr:colOff>40821</xdr:colOff>
      <xdr:row>33</xdr:row>
      <xdr:rowOff>122465</xdr:rowOff>
    </xdr:from>
    <xdr:to>
      <xdr:col>11</xdr:col>
      <xdr:colOff>326573</xdr:colOff>
      <xdr:row>49</xdr:row>
      <xdr:rowOff>0</xdr:rowOff>
    </xdr:to>
    <xdr:sp macro="" textlink="">
      <xdr:nvSpPr>
        <xdr:cNvPr id="5" name="TextBox 4"/>
        <xdr:cNvSpPr txBox="1"/>
      </xdr:nvSpPr>
      <xdr:spPr>
        <a:xfrm>
          <a:off x="40821" y="6817179"/>
          <a:ext cx="10763252" cy="3306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i="0" u="none" strike="noStrike">
              <a:solidFill>
                <a:sysClr val="windowText" lastClr="000000"/>
              </a:solidFill>
              <a:latin typeface="+mn-lt"/>
              <a:ea typeface="+mn-ea"/>
              <a:cs typeface="+mn-cs"/>
            </a:rPr>
            <a:t>&gt;&gt; The emission factors calculated from the speed-emission factor equations on the other worksheets need to multiplied by the mileage-related correction factors derived from these functions and shown in the worked examples for Euro 1,2 and Euro 3,4 petrol cars and</a:t>
          </a:r>
          <a:r>
            <a:rPr lang="en-GB" sz="1400" b="1" i="0" u="none" strike="noStrike" baseline="0">
              <a:solidFill>
                <a:sysClr val="windowText" lastClr="000000"/>
              </a:solidFill>
              <a:latin typeface="+mn-lt"/>
              <a:ea typeface="+mn-ea"/>
              <a:cs typeface="+mn-cs"/>
            </a:rPr>
            <a:t> LGVs  below.</a:t>
          </a:r>
        </a:p>
        <a:p>
          <a:endParaRPr lang="en-GB" sz="1400" b="1" i="0" u="none" strike="noStrike" baseline="0">
            <a:solidFill>
              <a:sysClr val="windowText" lastClr="000000"/>
            </a:solidFill>
            <a:latin typeface="+mn-lt"/>
            <a:ea typeface="+mn-ea"/>
            <a:cs typeface="+mn-cs"/>
          </a:endParaRPr>
        </a:p>
        <a:p>
          <a:r>
            <a:rPr lang="en-GB" sz="1400" b="1">
              <a:solidFill>
                <a:sysClr val="windowText" lastClr="000000"/>
              </a:solidFill>
            </a:rPr>
            <a:t>&gt;&gt; As d</a:t>
          </a:r>
          <a:r>
            <a:rPr lang="en-GB" sz="1400" b="1" i="0" u="none" strike="noStrike">
              <a:solidFill>
                <a:sysClr val="windowText" lastClr="000000"/>
              </a:solidFill>
              <a:latin typeface="+mn-lt"/>
              <a:ea typeface="+mn-ea"/>
              <a:cs typeface="+mn-cs"/>
            </a:rPr>
            <a:t>egradation functions are not provided for Euro 5 or Euro 6 petrol LDVs, no correction factors are applied  to their baseline emission factors.</a:t>
          </a:r>
        </a:p>
        <a:p>
          <a:endParaRPr lang="en-GB" sz="1400" b="1" i="0" u="none" strike="noStrike">
            <a:solidFill>
              <a:sysClr val="windowText" lastClr="000000"/>
            </a:solidFill>
            <a:latin typeface="+mn-lt"/>
            <a:ea typeface="+mn-ea"/>
            <a:cs typeface="+mn-cs"/>
          </a:endParaRPr>
        </a:p>
        <a:p>
          <a:r>
            <a:rPr lang="en-GB" sz="1400" b="1" i="0">
              <a:solidFill>
                <a:sysClr val="windowText" lastClr="000000"/>
              </a:solidFill>
              <a:effectLst/>
              <a:latin typeface="+mn-lt"/>
              <a:ea typeface="+mn-ea"/>
              <a:cs typeface="+mn-cs"/>
            </a:rPr>
            <a:t>&gt;&gt; The user should provide their own estimates of accumulated mileage of vehicles of different Euro standards reached by each calendar year.  If these are unavailabale estimates can be obtained from the DfT/TRL facators at </a:t>
          </a:r>
          <a:endParaRPr lang="en-GB" sz="1400">
            <a:solidFill>
              <a:sysClr val="windowText" lastClr="000000"/>
            </a:solidFill>
            <a:effectLst/>
          </a:endParaRPr>
        </a:p>
        <a:p>
          <a:r>
            <a:rPr lang="en-GB" sz="1400" b="0" i="0" baseline="0">
              <a:solidFill>
                <a:srgbClr val="0070C0"/>
              </a:solidFill>
              <a:effectLst/>
              <a:latin typeface="+mn-lt"/>
              <a:ea typeface="+mn-ea"/>
              <a:cs typeface="+mn-cs"/>
            </a:rPr>
            <a:t>http://www.dft.gov.uk/publications/road-vehicle-emission-factors-2009/ </a:t>
          </a:r>
          <a:endParaRPr lang="en-GB" sz="1400">
            <a:solidFill>
              <a:srgbClr val="0070C0"/>
            </a:solidFill>
            <a:effectLst/>
          </a:endParaRPr>
        </a:p>
        <a:p>
          <a:endParaRPr lang="en-GB" sz="1400" b="1" i="0" baseline="0">
            <a:solidFill>
              <a:sysClr val="windowText" lastClr="000000"/>
            </a:solidFill>
            <a:effectLst/>
            <a:latin typeface="+mn-lt"/>
            <a:ea typeface="+mn-ea"/>
            <a:cs typeface="+mn-cs"/>
          </a:endParaRPr>
        </a:p>
        <a:p>
          <a:r>
            <a:rPr lang="en-GB" sz="1400" b="1" i="0" baseline="0">
              <a:solidFill>
                <a:sysClr val="windowText" lastClr="000000"/>
              </a:solidFill>
              <a:effectLst/>
              <a:latin typeface="+mn-lt"/>
              <a:ea typeface="+mn-ea"/>
              <a:cs typeface="+mn-cs"/>
            </a:rPr>
            <a:t>Go to the spreadsheet 'Mileage fuel scaling factors.xls'.  Do not use the scaling factors for NOx in this spreadsheet, but go to the tab 'AvgMileage'.  Average mileage by mid year data can be found in columns AR to CA.  These provide the average accumulated mileage (in km) for each Euro standard reached by each year up to 2030 which should be used with the functions shown in the worked examples below.</a:t>
          </a:r>
          <a:endParaRPr lang="en-GB" sz="1400">
            <a:solidFill>
              <a:sysClr val="windowText" lastClr="000000"/>
            </a:solidFill>
            <a:effectLst/>
          </a:endParaRPr>
        </a:p>
        <a:p>
          <a:endParaRPr lang="en-GB"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helen_walker/Local%20Settings/Temporary%20Internet%20Files/Content.Outlook/LKAWS10N/Basic%20fleet%20proje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24"/>
  <sheetViews>
    <sheetView tabSelected="1" zoomScale="70" zoomScaleNormal="70" workbookViewId="0">
      <selection activeCell="A7" sqref="A7"/>
    </sheetView>
  </sheetViews>
  <sheetFormatPr defaultRowHeight="12.75" x14ac:dyDescent="0.2"/>
  <cols>
    <col min="1" max="1" width="11.28515625" style="89" customWidth="1"/>
    <col min="2" max="2" width="51" style="89" customWidth="1"/>
    <col min="3" max="3" width="20.42578125" style="89" customWidth="1"/>
    <col min="4" max="4" width="62" style="89" customWidth="1"/>
    <col min="5" max="16384" width="9.140625" style="89"/>
  </cols>
  <sheetData>
    <row r="7" spans="1:13" x14ac:dyDescent="0.2">
      <c r="A7" s="114" t="s">
        <v>77</v>
      </c>
      <c r="B7" s="113" t="s">
        <v>156</v>
      </c>
      <c r="C7" s="124"/>
      <c r="D7" s="123"/>
    </row>
    <row r="8" spans="1:13" x14ac:dyDescent="0.2">
      <c r="A8" s="119" t="s">
        <v>78</v>
      </c>
      <c r="B8" s="122" t="s">
        <v>172</v>
      </c>
      <c r="C8" s="111"/>
      <c r="D8" s="110"/>
    </row>
    <row r="9" spans="1:13" x14ac:dyDescent="0.2">
      <c r="B9" s="112"/>
      <c r="C9" s="121" t="s">
        <v>79</v>
      </c>
      <c r="D9" s="120"/>
      <c r="G9" s="91"/>
      <c r="H9" s="91"/>
      <c r="I9" s="91"/>
      <c r="J9" s="91"/>
      <c r="K9" s="91"/>
      <c r="L9" s="91"/>
      <c r="M9" s="91"/>
    </row>
    <row r="10" spans="1:13" x14ac:dyDescent="0.2">
      <c r="A10" s="119" t="s">
        <v>80</v>
      </c>
      <c r="B10" s="112" t="s">
        <v>81</v>
      </c>
      <c r="C10" s="119" t="s">
        <v>82</v>
      </c>
      <c r="D10" s="118"/>
      <c r="G10" s="91"/>
      <c r="H10" s="91"/>
      <c r="I10" s="91"/>
      <c r="J10" s="91"/>
      <c r="K10" s="91"/>
      <c r="L10" s="91"/>
      <c r="M10" s="91"/>
    </row>
    <row r="11" spans="1:13" x14ac:dyDescent="0.2">
      <c r="A11" s="116" t="s">
        <v>83</v>
      </c>
      <c r="B11" s="117">
        <v>41099</v>
      </c>
      <c r="C11" s="116" t="s">
        <v>84</v>
      </c>
      <c r="D11" s="115"/>
      <c r="G11" s="91"/>
      <c r="H11" s="91"/>
      <c r="I11" s="91"/>
      <c r="J11" s="91"/>
      <c r="K11" s="91"/>
      <c r="L11" s="91"/>
      <c r="M11" s="91"/>
    </row>
    <row r="12" spans="1:13" x14ac:dyDescent="0.2">
      <c r="A12" s="114" t="s">
        <v>85</v>
      </c>
      <c r="B12" s="113"/>
      <c r="C12" s="111"/>
      <c r="D12" s="110"/>
      <c r="G12" s="91"/>
      <c r="H12" s="91"/>
      <c r="I12" s="91"/>
      <c r="J12" s="91"/>
      <c r="K12" s="91"/>
      <c r="L12" s="91"/>
      <c r="M12" s="91"/>
    </row>
    <row r="13" spans="1:13" x14ac:dyDescent="0.2">
      <c r="A13" s="111"/>
      <c r="B13" s="112" t="s">
        <v>160</v>
      </c>
      <c r="C13" s="111"/>
      <c r="D13" s="110"/>
      <c r="G13" s="91"/>
      <c r="H13" s="91"/>
      <c r="I13" s="91"/>
      <c r="J13" s="91"/>
      <c r="K13" s="91"/>
      <c r="L13" s="91"/>
      <c r="M13" s="91"/>
    </row>
    <row r="14" spans="1:13" ht="15" x14ac:dyDescent="0.25">
      <c r="A14" s="109"/>
      <c r="B14" s="125" t="s">
        <v>144</v>
      </c>
      <c r="C14" s="109"/>
      <c r="D14" s="108"/>
      <c r="G14" s="91"/>
      <c r="H14" s="91"/>
      <c r="I14" s="91"/>
      <c r="J14" s="91"/>
      <c r="K14" s="91"/>
      <c r="L14" s="91"/>
      <c r="M14" s="91"/>
    </row>
    <row r="15" spans="1:13" x14ac:dyDescent="0.2">
      <c r="A15" s="107" t="s">
        <v>86</v>
      </c>
      <c r="B15" s="106"/>
      <c r="C15" s="105" t="s">
        <v>171</v>
      </c>
      <c r="D15" s="104"/>
      <c r="G15" s="91"/>
      <c r="H15" s="91"/>
      <c r="I15" s="91"/>
      <c r="J15" s="91"/>
      <c r="K15" s="91"/>
      <c r="L15" s="91"/>
      <c r="M15" s="91"/>
    </row>
    <row r="16" spans="1:13" x14ac:dyDescent="0.2">
      <c r="A16" s="103"/>
      <c r="B16" s="96"/>
      <c r="C16" s="97"/>
      <c r="D16" s="102"/>
      <c r="G16" s="91"/>
      <c r="H16" s="91"/>
      <c r="I16" s="91"/>
      <c r="J16" s="91"/>
      <c r="K16" s="91"/>
      <c r="L16" s="91"/>
      <c r="M16" s="91"/>
    </row>
    <row r="17" spans="1:13" x14ac:dyDescent="0.2">
      <c r="A17" s="101"/>
      <c r="B17" s="100" t="s">
        <v>159</v>
      </c>
      <c r="C17" s="97" t="s">
        <v>158</v>
      </c>
      <c r="D17" s="96"/>
      <c r="G17" s="91"/>
      <c r="H17" s="91"/>
      <c r="I17" s="91"/>
      <c r="J17" s="91"/>
      <c r="K17" s="91"/>
      <c r="L17" s="91"/>
      <c r="M17" s="91"/>
    </row>
    <row r="18" spans="1:13" x14ac:dyDescent="0.2">
      <c r="A18" s="101"/>
      <c r="B18" s="100" t="s">
        <v>161</v>
      </c>
      <c r="C18" s="97" t="s">
        <v>166</v>
      </c>
      <c r="D18" s="96"/>
      <c r="G18" s="91"/>
      <c r="H18" s="91"/>
      <c r="I18" s="91"/>
      <c r="J18" s="91"/>
      <c r="K18" s="91"/>
      <c r="L18" s="91"/>
      <c r="M18" s="91"/>
    </row>
    <row r="19" spans="1:13" x14ac:dyDescent="0.2">
      <c r="A19" s="101"/>
      <c r="B19" s="100" t="s">
        <v>162</v>
      </c>
      <c r="C19" s="97" t="s">
        <v>167</v>
      </c>
      <c r="D19" s="96"/>
      <c r="G19" s="91"/>
      <c r="H19" s="91"/>
      <c r="I19" s="91"/>
      <c r="J19" s="91"/>
      <c r="K19" s="91"/>
      <c r="L19" s="91"/>
      <c r="M19" s="91"/>
    </row>
    <row r="20" spans="1:13" x14ac:dyDescent="0.2">
      <c r="A20" s="101"/>
      <c r="B20" s="100" t="s">
        <v>163</v>
      </c>
      <c r="C20" s="97" t="s">
        <v>168</v>
      </c>
      <c r="D20" s="96"/>
      <c r="G20" s="91"/>
      <c r="H20" s="91"/>
      <c r="I20" s="91"/>
      <c r="J20" s="91"/>
      <c r="K20" s="91"/>
      <c r="L20" s="91"/>
      <c r="M20" s="91"/>
    </row>
    <row r="21" spans="1:13" x14ac:dyDescent="0.2">
      <c r="A21" s="99"/>
      <c r="B21" s="98" t="s">
        <v>164</v>
      </c>
      <c r="C21" s="97" t="s">
        <v>169</v>
      </c>
      <c r="D21" s="96"/>
      <c r="G21" s="91"/>
      <c r="H21" s="91"/>
      <c r="I21" s="91"/>
      <c r="J21" s="91"/>
      <c r="K21" s="91"/>
      <c r="L21" s="91"/>
      <c r="M21" s="91"/>
    </row>
    <row r="22" spans="1:13" x14ac:dyDescent="0.2">
      <c r="A22" s="99"/>
      <c r="B22" s="98" t="s">
        <v>165</v>
      </c>
      <c r="C22" s="97" t="s">
        <v>170</v>
      </c>
      <c r="D22" s="96"/>
      <c r="G22" s="91"/>
      <c r="H22" s="91"/>
      <c r="I22" s="91"/>
      <c r="J22" s="91"/>
      <c r="K22" s="91"/>
      <c r="L22" s="91"/>
      <c r="M22" s="91"/>
    </row>
    <row r="23" spans="1:13" x14ac:dyDescent="0.2">
      <c r="A23" s="95"/>
      <c r="B23" s="94"/>
      <c r="C23" s="93"/>
      <c r="D23" s="92"/>
      <c r="G23" s="91"/>
      <c r="H23" s="91"/>
      <c r="I23" s="91"/>
      <c r="J23" s="91"/>
      <c r="K23" s="91"/>
      <c r="L23" s="91"/>
      <c r="M23" s="91"/>
    </row>
    <row r="24" spans="1:13" x14ac:dyDescent="0.2">
      <c r="A24" s="90" t="s">
        <v>157</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8"/>
  <sheetViews>
    <sheetView showGridLines="0" workbookViewId="0"/>
  </sheetViews>
  <sheetFormatPr defaultRowHeight="15" x14ac:dyDescent="0.25"/>
  <cols>
    <col min="14" max="14" width="51.5703125" customWidth="1"/>
  </cols>
  <sheetData>
    <row r="3" spans="14:14" ht="15.75" x14ac:dyDescent="0.25">
      <c r="N3" s="31"/>
    </row>
    <row r="4" spans="14:14" x14ac:dyDescent="0.25">
      <c r="N4" s="29"/>
    </row>
    <row r="5" spans="14:14" x14ac:dyDescent="0.25">
      <c r="N5" s="29"/>
    </row>
    <row r="6" spans="14:14" x14ac:dyDescent="0.25">
      <c r="N6" s="29"/>
    </row>
    <row r="7" spans="14:14" x14ac:dyDescent="0.25">
      <c r="N7" s="29"/>
    </row>
    <row r="8" spans="14:14" x14ac:dyDescent="0.25">
      <c r="N8" s="29"/>
    </row>
    <row r="9" spans="14:14" x14ac:dyDescent="0.25">
      <c r="N9" s="29"/>
    </row>
    <row r="10" spans="14:14" x14ac:dyDescent="0.25">
      <c r="N10" s="29"/>
    </row>
    <row r="11" spans="14:14" x14ac:dyDescent="0.25">
      <c r="N11" s="28"/>
    </row>
    <row r="12" spans="14:14" x14ac:dyDescent="0.25">
      <c r="N12" s="29"/>
    </row>
    <row r="13" spans="14:14" x14ac:dyDescent="0.25">
      <c r="N13" s="29"/>
    </row>
    <row r="14" spans="14:14" x14ac:dyDescent="0.25">
      <c r="N14" s="29"/>
    </row>
    <row r="15" spans="14:14" x14ac:dyDescent="0.25">
      <c r="N15" s="30"/>
    </row>
    <row r="16" spans="14:14" x14ac:dyDescent="0.25">
      <c r="N16" s="27"/>
    </row>
    <row r="28" spans="1:1" x14ac:dyDescent="0.25">
      <c r="A28" s="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zoomScale="55" zoomScaleNormal="55" workbookViewId="0">
      <pane xSplit="3" ySplit="8" topLeftCell="I9" activePane="bottomRight" state="frozen"/>
      <selection pane="topRight" activeCell="D1" sqref="D1"/>
      <selection pane="bottomLeft" activeCell="A6" sqref="A6"/>
      <selection pane="bottomRight" activeCell="P2" sqref="P2"/>
    </sheetView>
  </sheetViews>
  <sheetFormatPr defaultRowHeight="15" x14ac:dyDescent="0.25"/>
  <cols>
    <col min="1" max="1" width="17.7109375" style="14" bestFit="1" customWidth="1"/>
    <col min="2" max="2" width="19.140625" style="14" customWidth="1"/>
    <col min="3" max="3" width="11.85546875" style="14" customWidth="1"/>
    <col min="4" max="4" width="111" style="21" customWidth="1"/>
    <col min="5" max="15" width="14.28515625" style="14" customWidth="1"/>
    <col min="16" max="16" width="20.140625" style="14" bestFit="1" customWidth="1"/>
    <col min="17" max="17" width="11.7109375" style="14" customWidth="1"/>
    <col min="18" max="18" width="30.5703125" style="14" bestFit="1" customWidth="1"/>
    <col min="19" max="19" width="6.85546875" style="14" bestFit="1" customWidth="1"/>
    <col min="20" max="16384" width="9.140625" style="14"/>
  </cols>
  <sheetData>
    <row r="1" spans="1:20" s="15" customFormat="1" ht="25.5" customHeight="1" x14ac:dyDescent="0.35">
      <c r="A1" s="74" t="s">
        <v>71</v>
      </c>
      <c r="B1" s="75"/>
      <c r="C1" s="75"/>
      <c r="D1" s="76" t="s">
        <v>8</v>
      </c>
      <c r="N1" s="126" t="s">
        <v>72</v>
      </c>
      <c r="O1" s="126"/>
      <c r="S1" s="17"/>
    </row>
    <row r="2" spans="1:20" s="15" customFormat="1" ht="18.75" x14ac:dyDescent="0.3">
      <c r="B2" s="14"/>
      <c r="C2" s="14"/>
      <c r="D2" s="16"/>
      <c r="N2" s="126"/>
      <c r="O2" s="126"/>
      <c r="P2" s="77">
        <v>30</v>
      </c>
      <c r="S2" s="18"/>
    </row>
    <row r="3" spans="1:20" s="15" customFormat="1" x14ac:dyDescent="0.25">
      <c r="A3" s="7"/>
      <c r="B3" s="14"/>
      <c r="C3" s="14"/>
      <c r="D3" s="16"/>
      <c r="N3" s="126"/>
      <c r="O3" s="126"/>
      <c r="P3" s="32"/>
      <c r="S3" s="18"/>
    </row>
    <row r="4" spans="1:20" s="15" customFormat="1" x14ac:dyDescent="0.25">
      <c r="A4" s="34" t="s">
        <v>85</v>
      </c>
      <c r="B4" s="14"/>
      <c r="C4" s="14"/>
      <c r="D4" s="16"/>
      <c r="N4" s="126"/>
      <c r="O4" s="126"/>
      <c r="P4" s="32"/>
      <c r="S4" s="18"/>
    </row>
    <row r="5" spans="1:20" s="15" customFormat="1" ht="15.75" x14ac:dyDescent="0.25">
      <c r="A5" s="78" t="s">
        <v>146</v>
      </c>
      <c r="B5" s="14"/>
      <c r="C5" s="14"/>
      <c r="D5" s="16"/>
      <c r="N5" s="126"/>
      <c r="O5" s="126"/>
      <c r="P5" s="32"/>
      <c r="S5" s="18"/>
    </row>
    <row r="6" spans="1:20" s="15" customFormat="1" x14ac:dyDescent="0.25">
      <c r="A6" s="14"/>
      <c r="B6" s="14"/>
      <c r="C6" s="14"/>
      <c r="D6" s="16"/>
      <c r="N6" s="126"/>
      <c r="O6" s="126"/>
      <c r="S6" s="19"/>
    </row>
    <row r="7" spans="1:20" s="15" customFormat="1" x14ac:dyDescent="0.25">
      <c r="A7" s="14"/>
      <c r="B7" s="14"/>
      <c r="C7" s="14"/>
      <c r="D7" s="16"/>
    </row>
    <row r="8" spans="1:20" s="13" customFormat="1" ht="31.5" x14ac:dyDescent="0.25">
      <c r="A8" s="23" t="s">
        <v>58</v>
      </c>
      <c r="B8" s="23" t="s">
        <v>67</v>
      </c>
      <c r="C8" s="23" t="s">
        <v>59</v>
      </c>
      <c r="D8" s="23" t="s">
        <v>35</v>
      </c>
      <c r="E8" s="23" t="s">
        <v>49</v>
      </c>
      <c r="F8" s="23" t="s">
        <v>50</v>
      </c>
      <c r="G8" s="23" t="s">
        <v>51</v>
      </c>
      <c r="H8" s="23" t="s">
        <v>52</v>
      </c>
      <c r="I8" s="23" t="s">
        <v>53</v>
      </c>
      <c r="J8" s="23" t="s">
        <v>54</v>
      </c>
      <c r="K8" s="23" t="s">
        <v>55</v>
      </c>
      <c r="L8" s="23" t="s">
        <v>56</v>
      </c>
      <c r="M8" s="23" t="s">
        <v>57</v>
      </c>
      <c r="N8" s="23" t="s">
        <v>88</v>
      </c>
      <c r="O8" s="23" t="s">
        <v>89</v>
      </c>
      <c r="P8" s="23" t="s">
        <v>70</v>
      </c>
      <c r="Q8" s="23" t="s">
        <v>87</v>
      </c>
      <c r="R8" s="20"/>
      <c r="S8" s="20"/>
      <c r="T8" s="20"/>
    </row>
    <row r="9" spans="1:20" s="15" customFormat="1" x14ac:dyDescent="0.25">
      <c r="A9" s="14" t="s">
        <v>43</v>
      </c>
      <c r="B9" s="14" t="s">
        <v>45</v>
      </c>
      <c r="C9" s="25" t="s">
        <v>68</v>
      </c>
      <c r="D9" s="21" t="s">
        <v>75</v>
      </c>
      <c r="E9" s="14">
        <v>1.01E-4</v>
      </c>
      <c r="F9" s="14">
        <v>-1.4E-2</v>
      </c>
      <c r="G9" s="14">
        <v>0.91800000000000004</v>
      </c>
      <c r="H9" s="14">
        <v>0</v>
      </c>
      <c r="I9" s="14">
        <v>0</v>
      </c>
      <c r="J9" s="14">
        <v>0</v>
      </c>
      <c r="K9" s="14">
        <v>0</v>
      </c>
      <c r="L9" s="14">
        <v>0</v>
      </c>
      <c r="M9" s="14">
        <v>0</v>
      </c>
      <c r="N9" s="14">
        <v>10</v>
      </c>
      <c r="O9" s="14">
        <v>130</v>
      </c>
      <c r="P9" s="24">
        <f t="shared" ref="P9:P43" si="0">IF($P$2&lt;$N9,$N9,IF($P$2&gt;$O9,$O9,$P$2))</f>
        <v>30</v>
      </c>
      <c r="Q9" s="22">
        <f xml:space="preserve"> (($E9 * $P9 ^ 2) + ($F9 * $P9) + $G9+ ($H9 * LOG($P9)) + ($I9 * EXP($J9 * $P9)) + ($K9 * ($P9 ^ $L9))) * (1 - $M9)</f>
        <v>0.58890000000000009</v>
      </c>
      <c r="R9" s="20"/>
      <c r="S9" s="20"/>
      <c r="T9" s="20"/>
    </row>
    <row r="10" spans="1:20" s="15" customFormat="1" x14ac:dyDescent="0.25">
      <c r="A10" s="14" t="s">
        <v>43</v>
      </c>
      <c r="B10" s="14" t="s">
        <v>45</v>
      </c>
      <c r="C10" s="26" t="s">
        <v>0</v>
      </c>
      <c r="D10" s="21" t="s">
        <v>76</v>
      </c>
      <c r="E10" s="14">
        <v>3.0956079239999998</v>
      </c>
      <c r="F10" s="14">
        <v>0.14119226900000001</v>
      </c>
      <c r="G10" s="14">
        <v>-6.1799999999999997E-3</v>
      </c>
      <c r="H10" s="14">
        <v>-5.0299999999999997E-4</v>
      </c>
      <c r="I10" s="14">
        <v>4.2200000000000001E-4</v>
      </c>
      <c r="J10" s="14">
        <v>0</v>
      </c>
      <c r="K10" s="14">
        <v>0</v>
      </c>
      <c r="L10" s="14">
        <v>0</v>
      </c>
      <c r="M10" s="14">
        <v>0</v>
      </c>
      <c r="N10" s="14">
        <v>10</v>
      </c>
      <c r="O10" s="14">
        <v>120</v>
      </c>
      <c r="P10" s="24">
        <f t="shared" si="0"/>
        <v>30</v>
      </c>
      <c r="Q10" s="22">
        <f t="shared" ref="Q10:Q15" si="1" xml:space="preserve"> (($E10 + $G10 * $P10 + $I10 * $P10 ^2 + $J10 / $P10 ) / (1 + $F10 * $P10 + $H10 * $P10 ^ 2)) * (1 - $M10)</f>
        <v>0.68784467957613649</v>
      </c>
      <c r="R10" s="20"/>
      <c r="S10" s="20"/>
      <c r="T10" s="20"/>
    </row>
    <row r="11" spans="1:20" s="15" customFormat="1" x14ac:dyDescent="0.25">
      <c r="A11" s="14" t="s">
        <v>43</v>
      </c>
      <c r="B11" s="14" t="s">
        <v>45</v>
      </c>
      <c r="C11" s="26" t="s">
        <v>1</v>
      </c>
      <c r="D11" s="21" t="s">
        <v>76</v>
      </c>
      <c r="E11" s="14">
        <v>2.3980973859999999</v>
      </c>
      <c r="F11" s="14">
        <v>7.6700000000000004E-2</v>
      </c>
      <c r="G11" s="14">
        <v>-1.1599999999999999E-2</v>
      </c>
      <c r="H11" s="14">
        <v>-5.0000000000000001E-4</v>
      </c>
      <c r="I11" s="14">
        <v>1.2E-4</v>
      </c>
      <c r="J11" s="14">
        <v>0</v>
      </c>
      <c r="K11" s="14">
        <v>0</v>
      </c>
      <c r="L11" s="14">
        <v>0</v>
      </c>
      <c r="M11" s="14">
        <v>0</v>
      </c>
      <c r="N11" s="14">
        <v>10</v>
      </c>
      <c r="O11" s="14">
        <v>120</v>
      </c>
      <c r="P11" s="24">
        <f t="shared" si="0"/>
        <v>30</v>
      </c>
      <c r="Q11" s="22">
        <f t="shared" si="1"/>
        <v>0.75696155243774121</v>
      </c>
      <c r="R11" s="20"/>
      <c r="S11" s="20"/>
      <c r="T11" s="20"/>
    </row>
    <row r="12" spans="1:20" s="15" customFormat="1" x14ac:dyDescent="0.25">
      <c r="A12" s="14" t="s">
        <v>43</v>
      </c>
      <c r="B12" s="14" t="s">
        <v>45</v>
      </c>
      <c r="C12" s="26" t="s">
        <v>2</v>
      </c>
      <c r="D12" s="21" t="s">
        <v>76</v>
      </c>
      <c r="E12" s="14">
        <v>2.816405992</v>
      </c>
      <c r="F12" s="14">
        <v>0.198187904</v>
      </c>
      <c r="G12" s="14">
        <v>6.6900000000000001E-2</v>
      </c>
      <c r="H12" s="14">
        <v>-1.4300000000000001E-3</v>
      </c>
      <c r="I12" s="14">
        <v>-4.6299999999999998E-4</v>
      </c>
      <c r="J12" s="14">
        <v>0</v>
      </c>
      <c r="K12" s="14">
        <v>0</v>
      </c>
      <c r="L12" s="14">
        <v>0</v>
      </c>
      <c r="M12" s="14">
        <v>0</v>
      </c>
      <c r="N12" s="14">
        <v>10</v>
      </c>
      <c r="O12" s="14">
        <v>120</v>
      </c>
      <c r="P12" s="24">
        <f t="shared" si="0"/>
        <v>30</v>
      </c>
      <c r="Q12" s="22">
        <f t="shared" si="1"/>
        <v>0.77875748144811241</v>
      </c>
      <c r="R12" s="20"/>
      <c r="S12" s="20"/>
      <c r="T12" s="20"/>
    </row>
    <row r="13" spans="1:20" s="15" customFormat="1" x14ac:dyDescent="0.25">
      <c r="A13" s="14" t="s">
        <v>43</v>
      </c>
      <c r="B13" s="14" t="s">
        <v>45</v>
      </c>
      <c r="C13" s="26" t="s">
        <v>3</v>
      </c>
      <c r="D13" s="21" t="s">
        <v>76</v>
      </c>
      <c r="E13" s="14">
        <v>1.1080000000000001</v>
      </c>
      <c r="F13" s="14">
        <v>0</v>
      </c>
      <c r="G13" s="14">
        <v>-2.0160000000000001E-2</v>
      </c>
      <c r="H13" s="14">
        <v>0</v>
      </c>
      <c r="I13" s="14">
        <v>1.484E-4</v>
      </c>
      <c r="J13" s="14">
        <v>0</v>
      </c>
      <c r="K13" s="14">
        <v>0</v>
      </c>
      <c r="L13" s="14">
        <v>0</v>
      </c>
      <c r="M13" s="14">
        <v>0</v>
      </c>
      <c r="N13" s="14">
        <v>10</v>
      </c>
      <c r="O13" s="14">
        <v>130</v>
      </c>
      <c r="P13" s="24">
        <f t="shared" si="0"/>
        <v>30</v>
      </c>
      <c r="Q13" s="22">
        <f t="shared" si="1"/>
        <v>0.6367600000000001</v>
      </c>
      <c r="R13" s="20"/>
      <c r="S13" s="20"/>
      <c r="T13" s="20"/>
    </row>
    <row r="14" spans="1:20" s="15" customFormat="1" x14ac:dyDescent="0.25">
      <c r="A14" s="14" t="s">
        <v>43</v>
      </c>
      <c r="B14" s="14" t="s">
        <v>45</v>
      </c>
      <c r="C14" s="26" t="s">
        <v>4</v>
      </c>
      <c r="D14" s="21" t="s">
        <v>76</v>
      </c>
      <c r="E14" s="14">
        <v>1.1080000000000001</v>
      </c>
      <c r="F14" s="14">
        <v>0</v>
      </c>
      <c r="G14" s="14">
        <v>-2.0160000000000001E-2</v>
      </c>
      <c r="H14" s="14">
        <v>0</v>
      </c>
      <c r="I14" s="14">
        <v>1.484E-4</v>
      </c>
      <c r="J14" s="14">
        <v>0</v>
      </c>
      <c r="K14" s="14">
        <v>0</v>
      </c>
      <c r="L14" s="14">
        <v>0</v>
      </c>
      <c r="M14" s="14">
        <v>0.28000000000000003</v>
      </c>
      <c r="N14" s="14">
        <v>10</v>
      </c>
      <c r="O14" s="14">
        <v>130</v>
      </c>
      <c r="P14" s="24">
        <f t="shared" si="0"/>
        <v>30</v>
      </c>
      <c r="Q14" s="22">
        <f t="shared" si="1"/>
        <v>0.45846720000000007</v>
      </c>
      <c r="R14" s="20"/>
      <c r="S14" s="20"/>
      <c r="T14" s="20"/>
    </row>
    <row r="15" spans="1:20" s="15" customFormat="1" x14ac:dyDescent="0.25">
      <c r="A15" s="14" t="s">
        <v>43</v>
      </c>
      <c r="B15" s="14" t="s">
        <v>45</v>
      </c>
      <c r="C15" s="26" t="s">
        <v>5</v>
      </c>
      <c r="D15" s="21" t="s">
        <v>76</v>
      </c>
      <c r="E15" s="14">
        <v>1.1080000000000001</v>
      </c>
      <c r="F15" s="14">
        <v>0</v>
      </c>
      <c r="G15" s="14">
        <v>-2.0160000000000001E-2</v>
      </c>
      <c r="H15" s="14">
        <v>0</v>
      </c>
      <c r="I15" s="14">
        <v>1.484E-4</v>
      </c>
      <c r="J15" s="14">
        <v>0</v>
      </c>
      <c r="K15" s="14">
        <v>0</v>
      </c>
      <c r="L15" s="14">
        <v>0</v>
      </c>
      <c r="M15" s="14">
        <v>0.68</v>
      </c>
      <c r="N15" s="14">
        <v>10</v>
      </c>
      <c r="O15" s="14">
        <v>130</v>
      </c>
      <c r="P15" s="24">
        <f t="shared" si="0"/>
        <v>30</v>
      </c>
      <c r="Q15" s="22">
        <f t="shared" si="1"/>
        <v>0.20376320000000001</v>
      </c>
      <c r="R15" s="20"/>
      <c r="S15" s="20"/>
      <c r="T15" s="20"/>
    </row>
    <row r="16" spans="1:20" s="15" customFormat="1" x14ac:dyDescent="0.25">
      <c r="A16" s="14" t="s">
        <v>43</v>
      </c>
      <c r="B16" s="14" t="s">
        <v>44</v>
      </c>
      <c r="C16" s="25" t="s">
        <v>68</v>
      </c>
      <c r="D16" s="21" t="s">
        <v>75</v>
      </c>
      <c r="E16" s="14">
        <v>1.3300000000000001E-4</v>
      </c>
      <c r="F16" s="14">
        <v>-1.7999999999999999E-2</v>
      </c>
      <c r="G16" s="14">
        <v>1.331</v>
      </c>
      <c r="H16" s="14">
        <v>0</v>
      </c>
      <c r="I16" s="14">
        <v>0</v>
      </c>
      <c r="J16" s="14">
        <v>0</v>
      </c>
      <c r="K16" s="14">
        <v>0</v>
      </c>
      <c r="L16" s="14">
        <v>0</v>
      </c>
      <c r="M16" s="14">
        <v>0</v>
      </c>
      <c r="N16" s="14">
        <v>10</v>
      </c>
      <c r="O16" s="14">
        <v>130</v>
      </c>
      <c r="P16" s="24">
        <f t="shared" si="0"/>
        <v>30</v>
      </c>
      <c r="Q16" s="22">
        <f xml:space="preserve"> (($E16 * $P16 ^ 2) + ($F16 * $P16) + $G16+ ($H16 * LOG($P16)) + ($I16 * EXP($J16 * $P16)) + ($K16 * ($P16 ^ $L16))) * (1 - $M16)</f>
        <v>0.91070000000000007</v>
      </c>
      <c r="R16" s="20"/>
      <c r="S16" s="20"/>
      <c r="T16" s="20"/>
    </row>
    <row r="17" spans="1:20" s="15" customFormat="1" x14ac:dyDescent="0.25">
      <c r="A17" s="14" t="s">
        <v>43</v>
      </c>
      <c r="B17" s="14" t="s">
        <v>44</v>
      </c>
      <c r="C17" s="26" t="s">
        <v>0</v>
      </c>
      <c r="D17" s="21" t="s">
        <v>76</v>
      </c>
      <c r="E17" s="14">
        <v>3.0956079239999998</v>
      </c>
      <c r="F17" s="14">
        <v>0.14119226900000001</v>
      </c>
      <c r="G17" s="14">
        <v>-6.1799999999999997E-3</v>
      </c>
      <c r="H17" s="14">
        <v>-5.0299999999999997E-4</v>
      </c>
      <c r="I17" s="14">
        <v>4.2200000000000001E-4</v>
      </c>
      <c r="J17" s="14">
        <v>0</v>
      </c>
      <c r="K17" s="14">
        <v>0</v>
      </c>
      <c r="L17" s="14">
        <v>0</v>
      </c>
      <c r="M17" s="14">
        <v>0</v>
      </c>
      <c r="N17" s="14">
        <v>10</v>
      </c>
      <c r="O17" s="14">
        <v>120</v>
      </c>
      <c r="P17" s="24">
        <f t="shared" si="0"/>
        <v>30</v>
      </c>
      <c r="Q17" s="22">
        <f t="shared" ref="Q17:Q22" si="2" xml:space="preserve"> (($E17 + $G17 * $P17 + $I17 * $P17 ^2 + $J17 / $P17 ) / (1 + $F17 * $P17 + $H17 * $P17 ^ 2)) * (1 - $M17)</f>
        <v>0.68784467957613649</v>
      </c>
      <c r="R17" s="20"/>
      <c r="S17" s="20"/>
      <c r="T17" s="20"/>
    </row>
    <row r="18" spans="1:20" s="15" customFormat="1" x14ac:dyDescent="0.25">
      <c r="A18" s="14" t="s">
        <v>43</v>
      </c>
      <c r="B18" s="14" t="s">
        <v>44</v>
      </c>
      <c r="C18" s="26" t="s">
        <v>1</v>
      </c>
      <c r="D18" s="21" t="s">
        <v>76</v>
      </c>
      <c r="E18" s="14">
        <v>2.3980973859999999</v>
      </c>
      <c r="F18" s="14">
        <v>7.6700000000000004E-2</v>
      </c>
      <c r="G18" s="14">
        <v>-1.1599999999999999E-2</v>
      </c>
      <c r="H18" s="14">
        <v>-5.0000000000000001E-4</v>
      </c>
      <c r="I18" s="14">
        <v>1.2E-4</v>
      </c>
      <c r="J18" s="14">
        <v>0</v>
      </c>
      <c r="K18" s="14">
        <v>0</v>
      </c>
      <c r="L18" s="14">
        <v>0</v>
      </c>
      <c r="M18" s="14">
        <v>0</v>
      </c>
      <c r="N18" s="14">
        <v>10</v>
      </c>
      <c r="O18" s="14">
        <v>120</v>
      </c>
      <c r="P18" s="24">
        <f t="shared" si="0"/>
        <v>30</v>
      </c>
      <c r="Q18" s="22">
        <f t="shared" si="2"/>
        <v>0.75696155243774121</v>
      </c>
      <c r="R18" s="20"/>
      <c r="S18" s="20"/>
      <c r="T18" s="20"/>
    </row>
    <row r="19" spans="1:20" s="15" customFormat="1" x14ac:dyDescent="0.25">
      <c r="A19" s="14" t="s">
        <v>43</v>
      </c>
      <c r="B19" s="14" t="s">
        <v>44</v>
      </c>
      <c r="C19" s="26" t="s">
        <v>2</v>
      </c>
      <c r="D19" s="21" t="s">
        <v>76</v>
      </c>
      <c r="E19" s="14">
        <v>2.816405992</v>
      </c>
      <c r="F19" s="14">
        <v>0.198187904</v>
      </c>
      <c r="G19" s="14">
        <v>6.6900000000000001E-2</v>
      </c>
      <c r="H19" s="14">
        <v>-1.4300000000000001E-3</v>
      </c>
      <c r="I19" s="14">
        <v>-4.6299999999999998E-4</v>
      </c>
      <c r="J19" s="14">
        <v>0</v>
      </c>
      <c r="K19" s="14">
        <v>0</v>
      </c>
      <c r="L19" s="14">
        <v>0</v>
      </c>
      <c r="M19" s="14">
        <v>0</v>
      </c>
      <c r="N19" s="14">
        <v>10</v>
      </c>
      <c r="O19" s="14">
        <v>120</v>
      </c>
      <c r="P19" s="24">
        <f t="shared" si="0"/>
        <v>30</v>
      </c>
      <c r="Q19" s="22">
        <f t="shared" si="2"/>
        <v>0.77875748144811241</v>
      </c>
      <c r="R19" s="20"/>
      <c r="S19" s="20"/>
      <c r="T19" s="20"/>
    </row>
    <row r="20" spans="1:20" s="15" customFormat="1" x14ac:dyDescent="0.25">
      <c r="A20" s="14" t="s">
        <v>43</v>
      </c>
      <c r="B20" s="14" t="s">
        <v>44</v>
      </c>
      <c r="C20" s="26" t="s">
        <v>3</v>
      </c>
      <c r="D20" s="21" t="s">
        <v>76</v>
      </c>
      <c r="E20" s="14">
        <v>1.1080000000000001</v>
      </c>
      <c r="F20" s="14">
        <v>0</v>
      </c>
      <c r="G20" s="14">
        <v>-2.0160000000000001E-2</v>
      </c>
      <c r="H20" s="14">
        <v>0</v>
      </c>
      <c r="I20" s="14">
        <v>1.484E-4</v>
      </c>
      <c r="J20" s="14">
        <v>0</v>
      </c>
      <c r="K20" s="14">
        <v>0</v>
      </c>
      <c r="L20" s="14">
        <v>0</v>
      </c>
      <c r="M20" s="14">
        <v>0</v>
      </c>
      <c r="N20" s="14">
        <v>10</v>
      </c>
      <c r="O20" s="14">
        <v>130</v>
      </c>
      <c r="P20" s="24">
        <f t="shared" si="0"/>
        <v>30</v>
      </c>
      <c r="Q20" s="22">
        <f t="shared" si="2"/>
        <v>0.6367600000000001</v>
      </c>
      <c r="R20" s="20"/>
      <c r="S20" s="20"/>
      <c r="T20" s="20"/>
    </row>
    <row r="21" spans="1:20" s="15" customFormat="1" x14ac:dyDescent="0.25">
      <c r="A21" s="14" t="s">
        <v>43</v>
      </c>
      <c r="B21" s="14" t="s">
        <v>44</v>
      </c>
      <c r="C21" s="26" t="s">
        <v>4</v>
      </c>
      <c r="D21" s="21" t="s">
        <v>76</v>
      </c>
      <c r="E21" s="14">
        <v>1.1080000000000001</v>
      </c>
      <c r="F21" s="14">
        <v>0</v>
      </c>
      <c r="G21" s="14">
        <v>-2.0160000000000001E-2</v>
      </c>
      <c r="H21" s="14">
        <v>0</v>
      </c>
      <c r="I21" s="14">
        <v>1.484E-4</v>
      </c>
      <c r="J21" s="14">
        <v>0</v>
      </c>
      <c r="K21" s="14">
        <v>0</v>
      </c>
      <c r="L21" s="14">
        <v>0</v>
      </c>
      <c r="M21" s="14">
        <v>0.28000000000000003</v>
      </c>
      <c r="N21" s="14">
        <v>10</v>
      </c>
      <c r="O21" s="14">
        <v>130</v>
      </c>
      <c r="P21" s="24">
        <f t="shared" si="0"/>
        <v>30</v>
      </c>
      <c r="Q21" s="22">
        <f t="shared" si="2"/>
        <v>0.45846720000000007</v>
      </c>
      <c r="R21" s="20"/>
      <c r="S21" s="20"/>
      <c r="T21" s="20"/>
    </row>
    <row r="22" spans="1:20" s="15" customFormat="1" x14ac:dyDescent="0.25">
      <c r="A22" s="14" t="s">
        <v>43</v>
      </c>
      <c r="B22" s="14" t="s">
        <v>44</v>
      </c>
      <c r="C22" s="26" t="s">
        <v>5</v>
      </c>
      <c r="D22" s="21" t="s">
        <v>76</v>
      </c>
      <c r="E22" s="14">
        <v>1.1080000000000001</v>
      </c>
      <c r="F22" s="14">
        <v>0</v>
      </c>
      <c r="G22" s="14">
        <v>-2.0160000000000001E-2</v>
      </c>
      <c r="H22" s="14">
        <v>0</v>
      </c>
      <c r="I22" s="14">
        <v>1.484E-4</v>
      </c>
      <c r="J22" s="14">
        <v>0</v>
      </c>
      <c r="K22" s="14">
        <v>0</v>
      </c>
      <c r="L22" s="14">
        <v>0</v>
      </c>
      <c r="M22" s="14">
        <v>0.68</v>
      </c>
      <c r="N22" s="14">
        <v>10</v>
      </c>
      <c r="O22" s="14">
        <v>130</v>
      </c>
      <c r="P22" s="24">
        <f t="shared" si="0"/>
        <v>30</v>
      </c>
      <c r="Q22" s="22">
        <f t="shared" si="2"/>
        <v>0.20376320000000001</v>
      </c>
      <c r="R22" s="20"/>
      <c r="S22" s="20"/>
      <c r="T22" s="20"/>
    </row>
    <row r="23" spans="1:20" s="15" customFormat="1" x14ac:dyDescent="0.25">
      <c r="A23" s="14" t="s">
        <v>43</v>
      </c>
      <c r="B23" s="14" t="s">
        <v>48</v>
      </c>
      <c r="C23" s="25" t="s">
        <v>68</v>
      </c>
      <c r="D23" s="21" t="s">
        <v>75</v>
      </c>
      <c r="E23" s="14">
        <v>9.7E-5</v>
      </c>
      <c r="F23" s="14">
        <v>2.5999999999999999E-3</v>
      </c>
      <c r="G23" s="14">
        <v>1.4319999999999999</v>
      </c>
      <c r="H23" s="14">
        <v>0</v>
      </c>
      <c r="I23" s="14">
        <v>0</v>
      </c>
      <c r="J23" s="14">
        <v>0</v>
      </c>
      <c r="K23" s="14">
        <v>0</v>
      </c>
      <c r="L23" s="14">
        <v>0</v>
      </c>
      <c r="M23" s="14">
        <v>0</v>
      </c>
      <c r="N23" s="14">
        <v>10</v>
      </c>
      <c r="O23" s="14">
        <v>130</v>
      </c>
      <c r="P23" s="24">
        <f t="shared" si="0"/>
        <v>30</v>
      </c>
      <c r="Q23" s="22">
        <f xml:space="preserve"> (($E23 * $P23 ^ 2) + ($F23 * $P23) + $G23+ ($H23 * LOG($P23)) + ($I23 * EXP($J23 * $P23)) + ($K23 * ($P23 ^ $L23))) * (1 - $M23)</f>
        <v>1.5972999999999999</v>
      </c>
      <c r="R23" s="20"/>
      <c r="S23" s="20"/>
      <c r="T23" s="20"/>
    </row>
    <row r="24" spans="1:20" s="15" customFormat="1" x14ac:dyDescent="0.25">
      <c r="A24" s="14" t="s">
        <v>43</v>
      </c>
      <c r="B24" s="14" t="s">
        <v>48</v>
      </c>
      <c r="C24" s="26" t="s">
        <v>0</v>
      </c>
      <c r="D24" s="21" t="s">
        <v>76</v>
      </c>
      <c r="E24" s="14">
        <v>0.52473884299999995</v>
      </c>
      <c r="F24" s="14">
        <v>0</v>
      </c>
      <c r="G24" s="14">
        <v>-0.01</v>
      </c>
      <c r="H24" s="14">
        <v>0</v>
      </c>
      <c r="I24" s="14">
        <v>9.3599999999999998E-5</v>
      </c>
      <c r="J24" s="14">
        <v>0</v>
      </c>
      <c r="K24" s="14">
        <v>0</v>
      </c>
      <c r="L24" s="14">
        <v>0</v>
      </c>
      <c r="M24" s="14">
        <v>0</v>
      </c>
      <c r="N24" s="14">
        <v>5</v>
      </c>
      <c r="O24" s="14">
        <v>130</v>
      </c>
      <c r="P24" s="24">
        <f t="shared" si="0"/>
        <v>30</v>
      </c>
      <c r="Q24" s="22">
        <f t="shared" ref="Q24:Q29" si="3" xml:space="preserve"> (($E24 + $G24 * $P24 + $I24 * $P24 ^2 + $J24 / $P24 ) / (1 + $F24 * $P24 + $H24 * $P24 ^ 2)) * (1 - $M24)</f>
        <v>0.30897884299999995</v>
      </c>
      <c r="R24" s="21"/>
      <c r="S24" s="21"/>
      <c r="T24" s="21"/>
    </row>
    <row r="25" spans="1:20" s="15" customFormat="1" x14ac:dyDescent="0.25">
      <c r="A25" s="14" t="s">
        <v>43</v>
      </c>
      <c r="B25" s="14" t="s">
        <v>48</v>
      </c>
      <c r="C25" s="26" t="s">
        <v>1</v>
      </c>
      <c r="D25" s="21" t="s">
        <v>76</v>
      </c>
      <c r="E25" s="14">
        <v>0.28355394499999997</v>
      </c>
      <c r="F25" s="14">
        <v>-2.3400000000000001E-2</v>
      </c>
      <c r="G25" s="14">
        <v>-8.6899999999999998E-3</v>
      </c>
      <c r="H25" s="14">
        <v>4.4299999999999998E-4</v>
      </c>
      <c r="I25" s="14">
        <v>1.1400000000000001E-4</v>
      </c>
      <c r="J25" s="14">
        <v>0</v>
      </c>
      <c r="K25" s="14">
        <v>0</v>
      </c>
      <c r="L25" s="14">
        <v>0</v>
      </c>
      <c r="M25" s="14">
        <v>0</v>
      </c>
      <c r="N25" s="14">
        <v>5</v>
      </c>
      <c r="O25" s="14">
        <v>130</v>
      </c>
      <c r="P25" s="24">
        <f t="shared" si="0"/>
        <v>30</v>
      </c>
      <c r="Q25" s="22">
        <f t="shared" si="3"/>
        <v>0.18006881728146984</v>
      </c>
      <c r="R25" s="21"/>
      <c r="S25" s="21"/>
      <c r="T25" s="21"/>
    </row>
    <row r="26" spans="1:20" s="15" customFormat="1" x14ac:dyDescent="0.25">
      <c r="A26" s="14" t="s">
        <v>43</v>
      </c>
      <c r="B26" s="14" t="s">
        <v>48</v>
      </c>
      <c r="C26" s="26" t="s">
        <v>2</v>
      </c>
      <c r="D26" s="21" t="s">
        <v>76</v>
      </c>
      <c r="E26" s="14">
        <v>9.2949654000000007E-2</v>
      </c>
      <c r="F26" s="14">
        <v>-1.2200000000000001E-2</v>
      </c>
      <c r="G26" s="14">
        <v>-1.49E-3</v>
      </c>
      <c r="H26" s="14">
        <v>3.9700000000000003E-5</v>
      </c>
      <c r="I26" s="14">
        <v>6.5300000000000002E-6</v>
      </c>
      <c r="J26" s="14">
        <v>0</v>
      </c>
      <c r="K26" s="14">
        <v>0</v>
      </c>
      <c r="L26" s="14">
        <v>0</v>
      </c>
      <c r="M26" s="14">
        <v>0</v>
      </c>
      <c r="N26" s="14">
        <v>5</v>
      </c>
      <c r="O26" s="14">
        <v>130</v>
      </c>
      <c r="P26" s="24">
        <f t="shared" si="0"/>
        <v>30</v>
      </c>
      <c r="Q26" s="22">
        <f t="shared" si="3"/>
        <v>8.0818619443656411E-2</v>
      </c>
      <c r="R26" s="21"/>
      <c r="S26" s="21"/>
      <c r="T26" s="21"/>
    </row>
    <row r="27" spans="1:20" s="15" customFormat="1" x14ac:dyDescent="0.25">
      <c r="A27" s="14" t="s">
        <v>43</v>
      </c>
      <c r="B27" s="14" t="s">
        <v>48</v>
      </c>
      <c r="C27" s="26" t="s">
        <v>3</v>
      </c>
      <c r="D27" s="21" t="s">
        <v>76</v>
      </c>
      <c r="E27" s="14">
        <v>0.106315088</v>
      </c>
      <c r="F27" s="14">
        <v>0</v>
      </c>
      <c r="G27" s="14">
        <v>-1.58E-3</v>
      </c>
      <c r="H27" s="14">
        <v>0</v>
      </c>
      <c r="I27" s="14">
        <v>7.0999999999999998E-6</v>
      </c>
      <c r="J27" s="14">
        <v>0</v>
      </c>
      <c r="K27" s="14">
        <v>0</v>
      </c>
      <c r="L27" s="14">
        <v>0</v>
      </c>
      <c r="M27" s="14">
        <v>0</v>
      </c>
      <c r="N27" s="14">
        <v>5</v>
      </c>
      <c r="O27" s="14">
        <v>130</v>
      </c>
      <c r="P27" s="24">
        <f t="shared" si="0"/>
        <v>30</v>
      </c>
      <c r="Q27" s="22">
        <f t="shared" si="3"/>
        <v>6.5305088000000011E-2</v>
      </c>
      <c r="R27" s="20"/>
      <c r="S27" s="20"/>
      <c r="T27" s="20"/>
    </row>
    <row r="28" spans="1:20" s="15" customFormat="1" x14ac:dyDescent="0.25">
      <c r="A28" s="14" t="s">
        <v>43</v>
      </c>
      <c r="B28" s="14" t="s">
        <v>48</v>
      </c>
      <c r="C28" s="26" t="s">
        <v>4</v>
      </c>
      <c r="D28" s="21" t="s">
        <v>76</v>
      </c>
      <c r="E28" s="14">
        <v>0.106315088</v>
      </c>
      <c r="F28" s="14">
        <v>0</v>
      </c>
      <c r="G28" s="14">
        <v>-1.58E-3</v>
      </c>
      <c r="H28" s="14">
        <v>0</v>
      </c>
      <c r="I28" s="14">
        <v>7.0999999999999998E-6</v>
      </c>
      <c r="J28" s="14">
        <v>0</v>
      </c>
      <c r="K28" s="14">
        <v>0</v>
      </c>
      <c r="L28" s="14">
        <v>0</v>
      </c>
      <c r="M28" s="14">
        <v>0.25</v>
      </c>
      <c r="N28" s="14">
        <v>5</v>
      </c>
      <c r="O28" s="14">
        <v>130</v>
      </c>
      <c r="P28" s="24">
        <f t="shared" si="0"/>
        <v>30</v>
      </c>
      <c r="Q28" s="22">
        <f t="shared" si="3"/>
        <v>4.8978816000000008E-2</v>
      </c>
      <c r="R28" s="20"/>
      <c r="S28" s="20"/>
      <c r="T28" s="20"/>
    </row>
    <row r="29" spans="1:20" s="15" customFormat="1" x14ac:dyDescent="0.25">
      <c r="A29" s="14" t="s">
        <v>43</v>
      </c>
      <c r="B29" s="14" t="s">
        <v>48</v>
      </c>
      <c r="C29" s="26" t="s">
        <v>5</v>
      </c>
      <c r="D29" s="21" t="s">
        <v>76</v>
      </c>
      <c r="E29" s="14">
        <v>0.106315088</v>
      </c>
      <c r="F29" s="14">
        <v>0</v>
      </c>
      <c r="G29" s="14">
        <v>-1.58E-3</v>
      </c>
      <c r="H29" s="14">
        <v>0</v>
      </c>
      <c r="I29" s="14">
        <v>7.0999999999999998E-6</v>
      </c>
      <c r="J29" s="14">
        <v>0</v>
      </c>
      <c r="K29" s="14">
        <v>0</v>
      </c>
      <c r="L29" s="14">
        <v>0</v>
      </c>
      <c r="M29" s="14">
        <v>0.25</v>
      </c>
      <c r="N29" s="14">
        <v>5</v>
      </c>
      <c r="O29" s="14">
        <v>130</v>
      </c>
      <c r="P29" s="24">
        <f t="shared" si="0"/>
        <v>30</v>
      </c>
      <c r="Q29" s="22">
        <f t="shared" si="3"/>
        <v>4.8978816000000008E-2</v>
      </c>
      <c r="R29" s="20"/>
      <c r="S29" s="20"/>
      <c r="T29" s="20"/>
    </row>
    <row r="30" spans="1:20" s="15" customFormat="1" x14ac:dyDescent="0.25">
      <c r="A30" s="14" t="s">
        <v>43</v>
      </c>
      <c r="B30" s="14" t="s">
        <v>46</v>
      </c>
      <c r="C30" s="25" t="s">
        <v>68</v>
      </c>
      <c r="D30" s="21" t="s">
        <v>75</v>
      </c>
      <c r="E30" s="14">
        <v>2.6600000000000001E-4</v>
      </c>
      <c r="F30" s="14">
        <v>-1.4E-2</v>
      </c>
      <c r="G30" s="14">
        <v>2.427</v>
      </c>
      <c r="H30" s="14">
        <v>0</v>
      </c>
      <c r="I30" s="14">
        <v>0</v>
      </c>
      <c r="J30" s="14">
        <v>0</v>
      </c>
      <c r="K30" s="14">
        <v>0</v>
      </c>
      <c r="L30" s="14">
        <v>0</v>
      </c>
      <c r="M30" s="14">
        <v>0</v>
      </c>
      <c r="N30" s="14">
        <v>10</v>
      </c>
      <c r="O30" s="14">
        <v>130</v>
      </c>
      <c r="P30" s="24">
        <f t="shared" si="0"/>
        <v>30</v>
      </c>
      <c r="Q30" s="22">
        <f xml:space="preserve"> (($E30 * $P30 ^ 2) + ($F30 * $P30) + $G30+ ($H30 * LOG($P30)) + ($I30 * EXP($J30 * $P30)) + ($K30 * ($P30 ^ $L30))) * (1 - $M30)</f>
        <v>2.2464</v>
      </c>
      <c r="R30" s="20"/>
      <c r="S30" s="20"/>
      <c r="T30" s="20"/>
    </row>
    <row r="31" spans="1:20" s="15" customFormat="1" x14ac:dyDescent="0.25">
      <c r="A31" s="14" t="s">
        <v>43</v>
      </c>
      <c r="B31" s="14" t="s">
        <v>46</v>
      </c>
      <c r="C31" s="26" t="s">
        <v>0</v>
      </c>
      <c r="D31" s="21" t="s">
        <v>76</v>
      </c>
      <c r="E31" s="14">
        <v>0.52473884299999995</v>
      </c>
      <c r="F31" s="14">
        <v>0</v>
      </c>
      <c r="G31" s="14">
        <v>-0.01</v>
      </c>
      <c r="H31" s="14">
        <v>0</v>
      </c>
      <c r="I31" s="14">
        <v>9.3599999999999998E-5</v>
      </c>
      <c r="J31" s="14">
        <v>0</v>
      </c>
      <c r="K31" s="14">
        <v>0</v>
      </c>
      <c r="L31" s="14">
        <v>0</v>
      </c>
      <c r="M31" s="14">
        <v>0</v>
      </c>
      <c r="N31" s="14">
        <v>5</v>
      </c>
      <c r="O31" s="14">
        <v>130</v>
      </c>
      <c r="P31" s="24">
        <f t="shared" si="0"/>
        <v>30</v>
      </c>
      <c r="Q31" s="22">
        <f t="shared" ref="Q31:Q36" si="4" xml:space="preserve"> (($E31 + $G31 * $P31 + $I31 * $P31 ^2 + $J31 / $P31 ) / (1 + $F31 * $P31 + $H31 * $P31 ^ 2)) * (1 - $M31)</f>
        <v>0.30897884299999995</v>
      </c>
      <c r="R31" s="20"/>
      <c r="S31" s="20"/>
      <c r="T31" s="20"/>
    </row>
    <row r="32" spans="1:20" s="15" customFormat="1" x14ac:dyDescent="0.25">
      <c r="A32" s="14" t="s">
        <v>43</v>
      </c>
      <c r="B32" s="14" t="s">
        <v>46</v>
      </c>
      <c r="C32" s="26" t="s">
        <v>1</v>
      </c>
      <c r="D32" s="21" t="s">
        <v>76</v>
      </c>
      <c r="E32" s="14">
        <v>0.28355394499999997</v>
      </c>
      <c r="F32" s="14">
        <v>-2.3400000000000001E-2</v>
      </c>
      <c r="G32" s="14">
        <v>-8.6899999999999998E-3</v>
      </c>
      <c r="H32" s="14">
        <v>4.4299999999999998E-4</v>
      </c>
      <c r="I32" s="14">
        <v>1.1400000000000001E-4</v>
      </c>
      <c r="J32" s="14">
        <v>0</v>
      </c>
      <c r="K32" s="14">
        <v>0</v>
      </c>
      <c r="L32" s="14">
        <v>0</v>
      </c>
      <c r="M32" s="14">
        <v>0</v>
      </c>
      <c r="N32" s="14">
        <v>5</v>
      </c>
      <c r="O32" s="14">
        <v>130</v>
      </c>
      <c r="P32" s="24">
        <f t="shared" si="0"/>
        <v>30</v>
      </c>
      <c r="Q32" s="22">
        <f t="shared" si="4"/>
        <v>0.18006881728146984</v>
      </c>
      <c r="R32" s="20"/>
      <c r="S32" s="20"/>
      <c r="T32" s="20"/>
    </row>
    <row r="33" spans="1:20" s="15" customFormat="1" x14ac:dyDescent="0.25">
      <c r="A33" s="14" t="s">
        <v>43</v>
      </c>
      <c r="B33" s="14" t="s">
        <v>46</v>
      </c>
      <c r="C33" s="26" t="s">
        <v>2</v>
      </c>
      <c r="D33" s="21" t="s">
        <v>76</v>
      </c>
      <c r="E33" s="14">
        <v>9.2949654000000007E-2</v>
      </c>
      <c r="F33" s="14">
        <v>-1.2200000000000001E-2</v>
      </c>
      <c r="G33" s="14">
        <v>-1.49E-3</v>
      </c>
      <c r="H33" s="14">
        <v>3.9700000000000003E-5</v>
      </c>
      <c r="I33" s="14">
        <v>6.5300000000000002E-6</v>
      </c>
      <c r="J33" s="14">
        <v>0</v>
      </c>
      <c r="K33" s="14">
        <v>0</v>
      </c>
      <c r="L33" s="14">
        <v>0</v>
      </c>
      <c r="M33" s="14">
        <v>0</v>
      </c>
      <c r="N33" s="14">
        <v>5</v>
      </c>
      <c r="O33" s="14">
        <v>130</v>
      </c>
      <c r="P33" s="24">
        <f t="shared" si="0"/>
        <v>30</v>
      </c>
      <c r="Q33" s="22">
        <f t="shared" si="4"/>
        <v>8.0818619443656411E-2</v>
      </c>
      <c r="R33" s="20"/>
      <c r="S33" s="20"/>
      <c r="T33" s="20"/>
    </row>
    <row r="34" spans="1:20" s="15" customFormat="1" x14ac:dyDescent="0.25">
      <c r="A34" s="14" t="s">
        <v>43</v>
      </c>
      <c r="B34" s="14" t="s">
        <v>46</v>
      </c>
      <c r="C34" s="26" t="s">
        <v>3</v>
      </c>
      <c r="D34" s="21" t="s">
        <v>76</v>
      </c>
      <c r="E34" s="14">
        <v>0.106315088</v>
      </c>
      <c r="F34" s="14">
        <v>0</v>
      </c>
      <c r="G34" s="14">
        <v>-1.58E-3</v>
      </c>
      <c r="H34" s="14">
        <v>0</v>
      </c>
      <c r="I34" s="14">
        <v>7.0999999999999998E-6</v>
      </c>
      <c r="J34" s="14">
        <v>0</v>
      </c>
      <c r="K34" s="14">
        <v>0</v>
      </c>
      <c r="L34" s="14">
        <v>0</v>
      </c>
      <c r="M34" s="14">
        <v>0</v>
      </c>
      <c r="N34" s="14">
        <v>5</v>
      </c>
      <c r="O34" s="14">
        <v>130</v>
      </c>
      <c r="P34" s="24">
        <f t="shared" si="0"/>
        <v>30</v>
      </c>
      <c r="Q34" s="22">
        <f t="shared" si="4"/>
        <v>6.5305088000000011E-2</v>
      </c>
      <c r="R34" s="20"/>
      <c r="S34" s="20"/>
      <c r="T34" s="20"/>
    </row>
    <row r="35" spans="1:20" s="15" customFormat="1" x14ac:dyDescent="0.25">
      <c r="A35" s="14" t="s">
        <v>43</v>
      </c>
      <c r="B35" s="14" t="s">
        <v>46</v>
      </c>
      <c r="C35" s="26" t="s">
        <v>4</v>
      </c>
      <c r="D35" s="21" t="s">
        <v>76</v>
      </c>
      <c r="E35" s="14">
        <v>0.106315088</v>
      </c>
      <c r="F35" s="14">
        <v>0</v>
      </c>
      <c r="G35" s="14">
        <v>-1.58E-3</v>
      </c>
      <c r="H35" s="14">
        <v>0</v>
      </c>
      <c r="I35" s="14">
        <v>7.0999999999999998E-6</v>
      </c>
      <c r="J35" s="14">
        <v>0</v>
      </c>
      <c r="K35" s="14">
        <v>0</v>
      </c>
      <c r="L35" s="14">
        <v>0</v>
      </c>
      <c r="M35" s="14">
        <v>0.25</v>
      </c>
      <c r="N35" s="14">
        <v>5</v>
      </c>
      <c r="O35" s="14">
        <v>130</v>
      </c>
      <c r="P35" s="24">
        <f t="shared" si="0"/>
        <v>30</v>
      </c>
      <c r="Q35" s="22">
        <f t="shared" si="4"/>
        <v>4.8978816000000008E-2</v>
      </c>
      <c r="R35" s="20"/>
      <c r="S35" s="20"/>
      <c r="T35" s="20"/>
    </row>
    <row r="36" spans="1:20" s="15" customFormat="1" x14ac:dyDescent="0.25">
      <c r="A36" s="14" t="s">
        <v>43</v>
      </c>
      <c r="B36" s="14" t="s">
        <v>46</v>
      </c>
      <c r="C36" s="26" t="s">
        <v>5</v>
      </c>
      <c r="D36" s="21" t="s">
        <v>76</v>
      </c>
      <c r="E36" s="14">
        <v>0.106315088</v>
      </c>
      <c r="F36" s="14">
        <v>0</v>
      </c>
      <c r="G36" s="14">
        <v>-1.58E-3</v>
      </c>
      <c r="H36" s="14">
        <v>0</v>
      </c>
      <c r="I36" s="14">
        <v>7.0999999999999998E-6</v>
      </c>
      <c r="J36" s="14">
        <v>0</v>
      </c>
      <c r="K36" s="14">
        <v>0</v>
      </c>
      <c r="L36" s="14">
        <v>0</v>
      </c>
      <c r="M36" s="14">
        <v>0.25</v>
      </c>
      <c r="N36" s="14">
        <v>5</v>
      </c>
      <c r="O36" s="14">
        <v>130</v>
      </c>
      <c r="P36" s="24">
        <f t="shared" si="0"/>
        <v>30</v>
      </c>
      <c r="Q36" s="22">
        <f t="shared" si="4"/>
        <v>4.8978816000000008E-2</v>
      </c>
      <c r="R36" s="20"/>
      <c r="S36" s="20"/>
      <c r="T36" s="20"/>
    </row>
    <row r="37" spans="1:20" s="15" customFormat="1" x14ac:dyDescent="0.25">
      <c r="A37" s="14" t="s">
        <v>43</v>
      </c>
      <c r="B37" s="14" t="s">
        <v>47</v>
      </c>
      <c r="C37" s="25" t="s">
        <v>68</v>
      </c>
      <c r="D37" s="21" t="s">
        <v>75</v>
      </c>
      <c r="E37" s="14">
        <v>7.3999999999999996E-5</v>
      </c>
      <c r="F37" s="14">
        <v>1.2999999999999999E-2</v>
      </c>
      <c r="G37" s="14">
        <v>1.484</v>
      </c>
      <c r="H37" s="14">
        <v>0</v>
      </c>
      <c r="I37" s="14">
        <v>0</v>
      </c>
      <c r="J37" s="14">
        <v>0</v>
      </c>
      <c r="K37" s="14">
        <v>0</v>
      </c>
      <c r="L37" s="14">
        <v>0</v>
      </c>
      <c r="M37" s="14">
        <v>0</v>
      </c>
      <c r="N37" s="14">
        <v>10</v>
      </c>
      <c r="O37" s="14">
        <v>130</v>
      </c>
      <c r="P37" s="24">
        <f t="shared" si="0"/>
        <v>30</v>
      </c>
      <c r="Q37" s="22">
        <f xml:space="preserve"> (($E37 * $P37 ^ 2) + ($F37 * $P37) + $G37+ ($H37 * LOG($P37)) + ($I37 * EXP($J37 * $P37)) + ($K37 * ($P37 ^ $L37))) * (1 - $M37)</f>
        <v>1.9405999999999999</v>
      </c>
      <c r="R37" s="20"/>
      <c r="S37" s="20"/>
      <c r="T37" s="20"/>
    </row>
    <row r="38" spans="1:20" s="15" customFormat="1" x14ac:dyDescent="0.25">
      <c r="A38" s="14" t="s">
        <v>43</v>
      </c>
      <c r="B38" s="14" t="s">
        <v>47</v>
      </c>
      <c r="C38" s="26" t="s">
        <v>0</v>
      </c>
      <c r="D38" s="21" t="s">
        <v>76</v>
      </c>
      <c r="E38" s="14">
        <v>0.52473884299999995</v>
      </c>
      <c r="F38" s="14">
        <v>0</v>
      </c>
      <c r="G38" s="14">
        <v>-0.01</v>
      </c>
      <c r="H38" s="14">
        <v>0</v>
      </c>
      <c r="I38" s="14">
        <v>9.3599999999999998E-5</v>
      </c>
      <c r="J38" s="14">
        <v>0</v>
      </c>
      <c r="K38" s="14">
        <v>0</v>
      </c>
      <c r="L38" s="14">
        <v>0</v>
      </c>
      <c r="M38" s="14">
        <v>0</v>
      </c>
      <c r="N38" s="14">
        <v>5</v>
      </c>
      <c r="O38" s="14">
        <v>130</v>
      </c>
      <c r="P38" s="24">
        <f t="shared" si="0"/>
        <v>30</v>
      </c>
      <c r="Q38" s="22">
        <f t="shared" ref="Q38:Q43" si="5" xml:space="preserve"> (($E38 + $G38 * $P38 + $I38 * $P38 ^2 + $J38 / $P38 ) / (1 + $F38 * $P38 + $H38 * $P38 ^ 2)) * (1 - $M38)</f>
        <v>0.30897884299999995</v>
      </c>
      <c r="R38" s="20"/>
      <c r="S38" s="20"/>
      <c r="T38" s="20"/>
    </row>
    <row r="39" spans="1:20" s="15" customFormat="1" x14ac:dyDescent="0.25">
      <c r="A39" s="14" t="s">
        <v>43</v>
      </c>
      <c r="B39" s="14" t="s">
        <v>47</v>
      </c>
      <c r="C39" s="26" t="s">
        <v>1</v>
      </c>
      <c r="D39" s="21" t="s">
        <v>76</v>
      </c>
      <c r="E39" s="14">
        <v>0.28355394499999997</v>
      </c>
      <c r="F39" s="14">
        <v>-2.3400000000000001E-2</v>
      </c>
      <c r="G39" s="14">
        <v>-8.6899999999999998E-3</v>
      </c>
      <c r="H39" s="14">
        <v>4.4299999999999998E-4</v>
      </c>
      <c r="I39" s="14">
        <v>1.1400000000000001E-4</v>
      </c>
      <c r="J39" s="14">
        <v>0</v>
      </c>
      <c r="K39" s="14">
        <v>0</v>
      </c>
      <c r="L39" s="14">
        <v>0</v>
      </c>
      <c r="M39" s="14">
        <v>0</v>
      </c>
      <c r="N39" s="14">
        <v>5</v>
      </c>
      <c r="O39" s="14">
        <v>130</v>
      </c>
      <c r="P39" s="24">
        <f t="shared" si="0"/>
        <v>30</v>
      </c>
      <c r="Q39" s="22">
        <f t="shared" si="5"/>
        <v>0.18006881728146984</v>
      </c>
      <c r="R39" s="20"/>
      <c r="S39" s="20"/>
      <c r="T39" s="20"/>
    </row>
    <row r="40" spans="1:20" s="15" customFormat="1" x14ac:dyDescent="0.25">
      <c r="A40" s="14" t="s">
        <v>43</v>
      </c>
      <c r="B40" s="14" t="s">
        <v>47</v>
      </c>
      <c r="C40" s="26" t="s">
        <v>2</v>
      </c>
      <c r="D40" s="21" t="s">
        <v>76</v>
      </c>
      <c r="E40" s="14">
        <v>9.2949654000000007E-2</v>
      </c>
      <c r="F40" s="14">
        <v>-1.2200000000000001E-2</v>
      </c>
      <c r="G40" s="14">
        <v>-1.49E-3</v>
      </c>
      <c r="H40" s="14">
        <v>3.9700000000000003E-5</v>
      </c>
      <c r="I40" s="14">
        <v>6.5300000000000002E-6</v>
      </c>
      <c r="J40" s="14">
        <v>0</v>
      </c>
      <c r="K40" s="14">
        <v>0</v>
      </c>
      <c r="L40" s="14">
        <v>0</v>
      </c>
      <c r="M40" s="14">
        <v>0</v>
      </c>
      <c r="N40" s="14">
        <v>5</v>
      </c>
      <c r="O40" s="14">
        <v>130</v>
      </c>
      <c r="P40" s="24">
        <f t="shared" si="0"/>
        <v>30</v>
      </c>
      <c r="Q40" s="22">
        <f t="shared" si="5"/>
        <v>8.0818619443656411E-2</v>
      </c>
      <c r="R40" s="20"/>
      <c r="S40" s="20"/>
      <c r="T40" s="20"/>
    </row>
    <row r="41" spans="1:20" s="15" customFormat="1" x14ac:dyDescent="0.25">
      <c r="A41" s="14" t="s">
        <v>43</v>
      </c>
      <c r="B41" s="14" t="s">
        <v>47</v>
      </c>
      <c r="C41" s="26" t="s">
        <v>3</v>
      </c>
      <c r="D41" s="21" t="s">
        <v>76</v>
      </c>
      <c r="E41" s="14">
        <v>0.106315088</v>
      </c>
      <c r="F41" s="14">
        <v>0</v>
      </c>
      <c r="G41" s="14">
        <v>-1.58E-3</v>
      </c>
      <c r="H41" s="14">
        <v>0</v>
      </c>
      <c r="I41" s="14">
        <v>7.0999999999999998E-6</v>
      </c>
      <c r="J41" s="14">
        <v>0</v>
      </c>
      <c r="K41" s="14">
        <v>0</v>
      </c>
      <c r="L41" s="14">
        <v>0</v>
      </c>
      <c r="M41" s="14">
        <v>0</v>
      </c>
      <c r="N41" s="14">
        <v>5</v>
      </c>
      <c r="O41" s="14">
        <v>130</v>
      </c>
      <c r="P41" s="24">
        <f t="shared" si="0"/>
        <v>30</v>
      </c>
      <c r="Q41" s="22">
        <f t="shared" si="5"/>
        <v>6.5305088000000011E-2</v>
      </c>
      <c r="R41" s="20"/>
      <c r="S41" s="20"/>
      <c r="T41" s="20"/>
    </row>
    <row r="42" spans="1:20" s="15" customFormat="1" x14ac:dyDescent="0.25">
      <c r="A42" s="14" t="s">
        <v>43</v>
      </c>
      <c r="B42" s="14" t="s">
        <v>47</v>
      </c>
      <c r="C42" s="26" t="s">
        <v>4</v>
      </c>
      <c r="D42" s="21" t="s">
        <v>76</v>
      </c>
      <c r="E42" s="14">
        <v>0.106315088</v>
      </c>
      <c r="F42" s="14">
        <v>0</v>
      </c>
      <c r="G42" s="14">
        <v>-1.58E-3</v>
      </c>
      <c r="H42" s="14">
        <v>0</v>
      </c>
      <c r="I42" s="14">
        <v>7.0999999999999998E-6</v>
      </c>
      <c r="J42" s="14">
        <v>0</v>
      </c>
      <c r="K42" s="14">
        <v>0</v>
      </c>
      <c r="L42" s="14">
        <v>0</v>
      </c>
      <c r="M42" s="14">
        <v>0.25</v>
      </c>
      <c r="N42" s="14">
        <v>5</v>
      </c>
      <c r="O42" s="14">
        <v>130</v>
      </c>
      <c r="P42" s="24">
        <f t="shared" si="0"/>
        <v>30</v>
      </c>
      <c r="Q42" s="22">
        <f t="shared" si="5"/>
        <v>4.8978816000000008E-2</v>
      </c>
      <c r="R42" s="21"/>
      <c r="S42" s="21"/>
      <c r="T42" s="21"/>
    </row>
    <row r="43" spans="1:20" s="15" customFormat="1" x14ac:dyDescent="0.25">
      <c r="A43" s="14" t="s">
        <v>43</v>
      </c>
      <c r="B43" s="14" t="s">
        <v>47</v>
      </c>
      <c r="C43" s="26" t="s">
        <v>5</v>
      </c>
      <c r="D43" s="21" t="s">
        <v>76</v>
      </c>
      <c r="E43" s="14">
        <v>0.106315088</v>
      </c>
      <c r="F43" s="14">
        <v>0</v>
      </c>
      <c r="G43" s="14">
        <v>-1.58E-3</v>
      </c>
      <c r="H43" s="14">
        <v>0</v>
      </c>
      <c r="I43" s="14">
        <v>7.0999999999999998E-6</v>
      </c>
      <c r="J43" s="14">
        <v>0</v>
      </c>
      <c r="K43" s="14">
        <v>0</v>
      </c>
      <c r="L43" s="14">
        <v>0</v>
      </c>
      <c r="M43" s="14">
        <v>0.25</v>
      </c>
      <c r="N43" s="14">
        <v>5</v>
      </c>
      <c r="O43" s="14">
        <v>130</v>
      </c>
      <c r="P43" s="24">
        <f t="shared" si="0"/>
        <v>30</v>
      </c>
      <c r="Q43" s="22">
        <f t="shared" si="5"/>
        <v>4.8978816000000008E-2</v>
      </c>
      <c r="R43" s="21"/>
      <c r="S43" s="21"/>
      <c r="T43" s="21"/>
    </row>
  </sheetData>
  <autoFilter ref="A8:Q43">
    <sortState ref="A6:S67">
      <sortCondition ref="B5:B67"/>
    </sortState>
  </autoFilter>
  <mergeCells count="1">
    <mergeCell ref="N1:O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24"/>
  <sheetViews>
    <sheetView showGridLines="0" zoomScale="55" zoomScaleNormal="55" workbookViewId="0">
      <pane xSplit="3" ySplit="8" topLeftCell="G9" activePane="bottomRight" state="frozen"/>
      <selection pane="topRight" activeCell="D1" sqref="D1"/>
      <selection pane="bottomLeft" activeCell="A6" sqref="A6"/>
      <selection pane="bottomRight" activeCell="P2" sqref="P2"/>
    </sheetView>
  </sheetViews>
  <sheetFormatPr defaultRowHeight="15" x14ac:dyDescent="0.25"/>
  <cols>
    <col min="1" max="1" width="18.140625" bestFit="1" customWidth="1"/>
    <col min="2" max="2" width="14.85546875" customWidth="1"/>
    <col min="3" max="3" width="12.28515625" customWidth="1"/>
    <col min="4" max="4" width="134.140625" bestFit="1" customWidth="1"/>
    <col min="5" max="5" width="16.28515625" bestFit="1" customWidth="1"/>
    <col min="6" max="6" width="14.140625" bestFit="1" customWidth="1"/>
    <col min="7" max="7" width="17.85546875" bestFit="1" customWidth="1"/>
    <col min="8" max="8" width="15.7109375" bestFit="1" customWidth="1"/>
    <col min="9" max="9" width="18.5703125" bestFit="1" customWidth="1"/>
    <col min="10" max="10" width="12.85546875" bestFit="1" customWidth="1"/>
    <col min="11" max="11" width="11" customWidth="1"/>
    <col min="12" max="12" width="15" bestFit="1" customWidth="1"/>
    <col min="13" max="13" width="10.28515625" bestFit="1" customWidth="1"/>
    <col min="14" max="15" width="14.42578125" customWidth="1"/>
    <col min="16" max="16" width="19.28515625" customWidth="1"/>
    <col min="17" max="17" width="12" customWidth="1"/>
  </cols>
  <sheetData>
    <row r="1" spans="1:227" s="15" customFormat="1" ht="25.5" customHeight="1" x14ac:dyDescent="0.35">
      <c r="A1" s="74" t="s">
        <v>71</v>
      </c>
      <c r="B1" s="75"/>
      <c r="C1" s="75"/>
      <c r="D1" s="76" t="s">
        <v>8</v>
      </c>
      <c r="N1" s="126" t="s">
        <v>72</v>
      </c>
      <c r="O1" s="126"/>
      <c r="R1" s="17"/>
    </row>
    <row r="2" spans="1:227" s="15" customFormat="1" ht="18.75" x14ac:dyDescent="0.3">
      <c r="A2" s="7"/>
      <c r="K2" s="1"/>
      <c r="N2" s="126"/>
      <c r="O2" s="126"/>
      <c r="P2" s="77">
        <v>30</v>
      </c>
    </row>
    <row r="3" spans="1:227" s="15" customFormat="1" x14ac:dyDescent="0.25">
      <c r="A3" s="7"/>
      <c r="K3" s="1"/>
      <c r="N3" s="126"/>
      <c r="O3" s="126"/>
      <c r="P3" s="32"/>
    </row>
    <row r="4" spans="1:227" s="15" customFormat="1" x14ac:dyDescent="0.25">
      <c r="A4" s="34" t="s">
        <v>85</v>
      </c>
      <c r="K4" s="1"/>
      <c r="N4" s="126"/>
      <c r="O4" s="126"/>
      <c r="P4" s="32"/>
    </row>
    <row r="5" spans="1:227" s="15" customFormat="1" ht="15.75" x14ac:dyDescent="0.25">
      <c r="A5" s="78" t="s">
        <v>145</v>
      </c>
      <c r="K5" s="1"/>
      <c r="N5" s="126"/>
      <c r="O5" s="126"/>
      <c r="P5" s="32"/>
    </row>
    <row r="6" spans="1:227" s="15" customFormat="1" ht="15.75" x14ac:dyDescent="0.25">
      <c r="A6" s="78" t="s">
        <v>147</v>
      </c>
      <c r="K6" s="1"/>
      <c r="N6" s="126"/>
      <c r="O6" s="126"/>
    </row>
    <row r="7" spans="1:227" s="6" customFormat="1" x14ac:dyDescent="0.25">
      <c r="O7" s="15"/>
      <c r="P7" s="15"/>
      <c r="Q7" s="3"/>
    </row>
    <row r="8" spans="1:227" s="6" customFormat="1" ht="31.5" x14ac:dyDescent="0.25">
      <c r="A8" s="23" t="s">
        <v>58</v>
      </c>
      <c r="B8" s="23" t="s">
        <v>67</v>
      </c>
      <c r="C8" s="23" t="s">
        <v>59</v>
      </c>
      <c r="D8" s="23" t="s">
        <v>35</v>
      </c>
      <c r="E8" s="23" t="s">
        <v>49</v>
      </c>
      <c r="F8" s="23" t="s">
        <v>50</v>
      </c>
      <c r="G8" s="23" t="s">
        <v>51</v>
      </c>
      <c r="H8" s="23" t="s">
        <v>52</v>
      </c>
      <c r="I8" s="23" t="s">
        <v>53</v>
      </c>
      <c r="J8" s="23" t="s">
        <v>54</v>
      </c>
      <c r="K8" s="23" t="s">
        <v>55</v>
      </c>
      <c r="L8" s="23" t="s">
        <v>56</v>
      </c>
      <c r="M8" s="23" t="s">
        <v>57</v>
      </c>
      <c r="N8" s="23" t="s">
        <v>88</v>
      </c>
      <c r="O8" s="23" t="s">
        <v>89</v>
      </c>
      <c r="P8" s="23" t="s">
        <v>70</v>
      </c>
      <c r="Q8" s="23" t="s">
        <v>87</v>
      </c>
    </row>
    <row r="9" spans="1:227" s="1" customFormat="1" x14ac:dyDescent="0.25">
      <c r="A9" s="1" t="s">
        <v>73</v>
      </c>
      <c r="B9" s="1" t="s">
        <v>6</v>
      </c>
      <c r="C9" s="25" t="s">
        <v>68</v>
      </c>
      <c r="D9" s="2" t="s">
        <v>75</v>
      </c>
      <c r="E9" s="1">
        <v>8.1599999999999999E-4</v>
      </c>
      <c r="F9" s="1">
        <v>-0.11890000000000001</v>
      </c>
      <c r="G9" s="1">
        <v>5.1234000000000002</v>
      </c>
      <c r="H9" s="1">
        <v>0</v>
      </c>
      <c r="I9" s="1">
        <v>0</v>
      </c>
      <c r="J9" s="1">
        <v>0</v>
      </c>
      <c r="K9" s="1">
        <v>0</v>
      </c>
      <c r="L9" s="1">
        <v>0</v>
      </c>
      <c r="M9" s="1">
        <v>0</v>
      </c>
      <c r="N9" s="1">
        <v>10</v>
      </c>
      <c r="O9" s="1">
        <v>110</v>
      </c>
      <c r="P9" s="24">
        <f t="shared" ref="P9:P22" si="0">IF($P$2&lt;$N9,$N9,IF($P$2&gt;$O9,$O9,$P$2))</f>
        <v>30</v>
      </c>
      <c r="Q9" s="22">
        <f t="shared" ref="Q9:Q22" si="1" xml:space="preserve"> (($E9 * $P9 ^ 2) + ($F9 * $P9) + $G9+ ($H9 * LOG($P9)) + ($I9 * EXP($J9 * $P9)) + ($K9 * ($P9 ^ $L9))) * (1 - $M9)</f>
        <v>2.2907999999999999</v>
      </c>
      <c r="R9" s="4"/>
      <c r="S9" s="4"/>
      <c r="T9" s="4"/>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row>
    <row r="10" spans="1:227" s="1" customFormat="1" x14ac:dyDescent="0.25">
      <c r="A10" s="1" t="s">
        <v>73</v>
      </c>
      <c r="B10" s="1" t="s">
        <v>6</v>
      </c>
      <c r="C10" s="25" t="s">
        <v>0</v>
      </c>
      <c r="D10" s="2" t="s">
        <v>75</v>
      </c>
      <c r="E10" s="1">
        <v>2.41E-4</v>
      </c>
      <c r="F10" s="1">
        <v>-3.1809999999999998E-2</v>
      </c>
      <c r="G10" s="1">
        <v>2.0247000000000002</v>
      </c>
      <c r="H10" s="1">
        <v>0</v>
      </c>
      <c r="I10" s="1">
        <v>0</v>
      </c>
      <c r="J10" s="1">
        <v>0</v>
      </c>
      <c r="K10" s="1">
        <v>0</v>
      </c>
      <c r="L10" s="1">
        <v>0</v>
      </c>
      <c r="M10" s="1">
        <v>0</v>
      </c>
      <c r="N10" s="1">
        <v>10</v>
      </c>
      <c r="O10" s="1">
        <v>110</v>
      </c>
      <c r="P10" s="24">
        <f t="shared" si="0"/>
        <v>30</v>
      </c>
      <c r="Q10" s="22">
        <f t="shared" si="1"/>
        <v>1.2873000000000001</v>
      </c>
    </row>
    <row r="11" spans="1:227" s="1" customFormat="1" x14ac:dyDescent="0.25">
      <c r="A11" s="1" t="s">
        <v>73</v>
      </c>
      <c r="B11" s="1" t="s">
        <v>6</v>
      </c>
      <c r="C11" s="25" t="s">
        <v>1</v>
      </c>
      <c r="D11" s="2" t="s">
        <v>75</v>
      </c>
      <c r="E11" s="1">
        <v>2.41E-4</v>
      </c>
      <c r="F11" s="1">
        <v>-3.1809999999999998E-2</v>
      </c>
      <c r="G11" s="1">
        <v>2.0247000000000002</v>
      </c>
      <c r="H11" s="1">
        <v>0</v>
      </c>
      <c r="I11" s="1">
        <v>0</v>
      </c>
      <c r="J11" s="1">
        <v>0</v>
      </c>
      <c r="K11" s="1">
        <v>0</v>
      </c>
      <c r="L11" s="1">
        <v>0</v>
      </c>
      <c r="M11" s="1">
        <v>0</v>
      </c>
      <c r="N11" s="1">
        <v>10</v>
      </c>
      <c r="O11" s="1">
        <v>110</v>
      </c>
      <c r="P11" s="24">
        <f t="shared" si="0"/>
        <v>30</v>
      </c>
      <c r="Q11" s="22">
        <f t="shared" si="1"/>
        <v>1.2873000000000001</v>
      </c>
    </row>
    <row r="12" spans="1:227" s="1" customFormat="1" x14ac:dyDescent="0.25">
      <c r="A12" s="1" t="s">
        <v>73</v>
      </c>
      <c r="B12" s="1" t="s">
        <v>6</v>
      </c>
      <c r="C12" s="25" t="s">
        <v>2</v>
      </c>
      <c r="D12" s="2" t="s">
        <v>75</v>
      </c>
      <c r="E12" s="1">
        <v>2.41E-4</v>
      </c>
      <c r="F12" s="1">
        <v>-3.1809999999999998E-2</v>
      </c>
      <c r="G12" s="1">
        <v>2.0247000000000002</v>
      </c>
      <c r="H12" s="1">
        <v>0</v>
      </c>
      <c r="I12" s="1">
        <v>0</v>
      </c>
      <c r="J12" s="1">
        <v>0</v>
      </c>
      <c r="K12" s="1">
        <v>0</v>
      </c>
      <c r="L12" s="1">
        <v>0</v>
      </c>
      <c r="M12" s="1">
        <v>0.16</v>
      </c>
      <c r="N12" s="1">
        <v>10</v>
      </c>
      <c r="O12" s="1">
        <v>110</v>
      </c>
      <c r="P12" s="24">
        <f t="shared" si="0"/>
        <v>30</v>
      </c>
      <c r="Q12" s="22">
        <f t="shared" si="1"/>
        <v>1.081332</v>
      </c>
    </row>
    <row r="13" spans="1:227" s="1" customFormat="1" x14ac:dyDescent="0.25">
      <c r="A13" s="1" t="s">
        <v>73</v>
      </c>
      <c r="B13" s="1" t="s">
        <v>6</v>
      </c>
      <c r="C13" s="25" t="s">
        <v>3</v>
      </c>
      <c r="D13" s="2" t="s">
        <v>75</v>
      </c>
      <c r="E13" s="1">
        <v>2.41E-4</v>
      </c>
      <c r="F13" s="1">
        <v>-3.1809999999999998E-2</v>
      </c>
      <c r="G13" s="1">
        <v>2.0247000000000002</v>
      </c>
      <c r="H13" s="1">
        <v>0</v>
      </c>
      <c r="I13" s="1">
        <v>0</v>
      </c>
      <c r="J13" s="1">
        <v>0</v>
      </c>
      <c r="K13" s="1">
        <v>0</v>
      </c>
      <c r="L13" s="1">
        <v>0</v>
      </c>
      <c r="M13" s="1">
        <v>0.32</v>
      </c>
      <c r="N13" s="1">
        <v>10</v>
      </c>
      <c r="O13" s="1">
        <v>110</v>
      </c>
      <c r="P13" s="24">
        <f t="shared" si="0"/>
        <v>30</v>
      </c>
      <c r="Q13" s="22">
        <f t="shared" si="1"/>
        <v>0.87536400000000003</v>
      </c>
    </row>
    <row r="14" spans="1:227" s="1" customFormat="1" x14ac:dyDescent="0.25">
      <c r="A14" s="1" t="s">
        <v>73</v>
      </c>
      <c r="B14" s="1" t="s">
        <v>6</v>
      </c>
      <c r="C14" s="25" t="s">
        <v>4</v>
      </c>
      <c r="D14" s="2" t="s">
        <v>75</v>
      </c>
      <c r="E14" s="1">
        <v>2.41E-4</v>
      </c>
      <c r="F14" s="1">
        <v>-3.1809999999999998E-2</v>
      </c>
      <c r="G14" s="1">
        <v>2.0247000000000002</v>
      </c>
      <c r="H14" s="1">
        <v>0</v>
      </c>
      <c r="I14" s="1">
        <v>0</v>
      </c>
      <c r="J14" s="1">
        <v>0</v>
      </c>
      <c r="K14" s="1">
        <v>0</v>
      </c>
      <c r="L14" s="1">
        <v>0</v>
      </c>
      <c r="M14" s="1">
        <v>0.51</v>
      </c>
      <c r="N14" s="1">
        <v>10</v>
      </c>
      <c r="O14" s="1">
        <v>110</v>
      </c>
      <c r="P14" s="24">
        <f t="shared" si="0"/>
        <v>30</v>
      </c>
      <c r="Q14" s="22">
        <f t="shared" si="1"/>
        <v>0.63077700000000003</v>
      </c>
    </row>
    <row r="15" spans="1:227" s="1" customFormat="1" x14ac:dyDescent="0.25">
      <c r="A15" s="1" t="s">
        <v>73</v>
      </c>
      <c r="B15" s="1" t="s">
        <v>6</v>
      </c>
      <c r="C15" s="25" t="s">
        <v>5</v>
      </c>
      <c r="D15" s="2" t="s">
        <v>75</v>
      </c>
      <c r="E15" s="1">
        <v>2.41E-4</v>
      </c>
      <c r="F15" s="1">
        <v>-3.1809999999999998E-2</v>
      </c>
      <c r="G15" s="1">
        <v>2.0247000000000002</v>
      </c>
      <c r="H15" s="1">
        <v>0</v>
      </c>
      <c r="I15" s="1">
        <v>0</v>
      </c>
      <c r="J15" s="1">
        <v>0</v>
      </c>
      <c r="K15" s="1">
        <v>0</v>
      </c>
      <c r="L15" s="1">
        <v>0</v>
      </c>
      <c r="M15" s="1">
        <v>0.78</v>
      </c>
      <c r="N15" s="1">
        <v>10</v>
      </c>
      <c r="O15" s="1">
        <v>110</v>
      </c>
      <c r="P15" s="24">
        <f t="shared" si="0"/>
        <v>30</v>
      </c>
      <c r="Q15" s="22">
        <f t="shared" si="1"/>
        <v>0.28320600000000001</v>
      </c>
    </row>
    <row r="16" spans="1:227" s="1" customFormat="1" x14ac:dyDescent="0.25">
      <c r="A16" s="1" t="s">
        <v>73</v>
      </c>
      <c r="B16" s="1" t="s">
        <v>7</v>
      </c>
      <c r="C16" s="25" t="s">
        <v>68</v>
      </c>
      <c r="D16" s="2" t="s">
        <v>75</v>
      </c>
      <c r="E16" s="1">
        <v>0</v>
      </c>
      <c r="F16" s="1">
        <v>1.7899999999999999E-2</v>
      </c>
      <c r="G16" s="1">
        <v>1.9547000000000001</v>
      </c>
      <c r="H16" s="1">
        <v>0</v>
      </c>
      <c r="I16" s="1">
        <v>0</v>
      </c>
      <c r="J16" s="1">
        <v>0</v>
      </c>
      <c r="K16" s="1">
        <v>0</v>
      </c>
      <c r="L16" s="1">
        <v>0</v>
      </c>
      <c r="M16" s="1">
        <v>0</v>
      </c>
      <c r="N16" s="1">
        <v>10</v>
      </c>
      <c r="O16" s="1">
        <v>110</v>
      </c>
      <c r="P16" s="24">
        <f t="shared" si="0"/>
        <v>30</v>
      </c>
      <c r="Q16" s="22">
        <f t="shared" si="1"/>
        <v>2.4916999999999998</v>
      </c>
    </row>
    <row r="17" spans="1:17" s="1" customFormat="1" x14ac:dyDescent="0.25">
      <c r="A17" s="1" t="s">
        <v>73</v>
      </c>
      <c r="B17" s="1" t="s">
        <v>7</v>
      </c>
      <c r="C17" s="25" t="s">
        <v>0</v>
      </c>
      <c r="D17" s="2" t="s">
        <v>75</v>
      </c>
      <c r="E17" s="1">
        <v>7.5500000000000006E-5</v>
      </c>
      <c r="F17" s="1">
        <v>-8.9999999999999993E-3</v>
      </c>
      <c r="G17" s="1">
        <v>0.66600000000000004</v>
      </c>
      <c r="H17" s="1">
        <v>0</v>
      </c>
      <c r="I17" s="1">
        <v>0</v>
      </c>
      <c r="J17" s="1">
        <v>0</v>
      </c>
      <c r="K17" s="1">
        <v>0</v>
      </c>
      <c r="L17" s="1">
        <v>0</v>
      </c>
      <c r="M17" s="1">
        <v>0</v>
      </c>
      <c r="N17" s="1">
        <v>10</v>
      </c>
      <c r="O17" s="1">
        <v>120</v>
      </c>
      <c r="P17" s="24">
        <f t="shared" si="0"/>
        <v>30</v>
      </c>
      <c r="Q17" s="22">
        <f t="shared" si="1"/>
        <v>0.46395000000000008</v>
      </c>
    </row>
    <row r="18" spans="1:17" s="1" customFormat="1" x14ac:dyDescent="0.25">
      <c r="A18" s="1" t="s">
        <v>73</v>
      </c>
      <c r="B18" s="1" t="s">
        <v>7</v>
      </c>
      <c r="C18" s="25" t="s">
        <v>1</v>
      </c>
      <c r="D18" s="2" t="s">
        <v>75</v>
      </c>
      <c r="E18" s="1">
        <v>7.5500000000000006E-5</v>
      </c>
      <c r="F18" s="1">
        <v>-8.9999999999999993E-3</v>
      </c>
      <c r="G18" s="1">
        <v>0.66600000000000004</v>
      </c>
      <c r="H18" s="1">
        <v>0</v>
      </c>
      <c r="I18" s="1">
        <v>0</v>
      </c>
      <c r="J18" s="1">
        <v>0</v>
      </c>
      <c r="K18" s="1">
        <v>0</v>
      </c>
      <c r="L18" s="1">
        <v>0</v>
      </c>
      <c r="M18" s="1">
        <v>0.66</v>
      </c>
      <c r="N18" s="1">
        <v>10</v>
      </c>
      <c r="O18" s="1">
        <v>120</v>
      </c>
      <c r="P18" s="24">
        <f t="shared" si="0"/>
        <v>30</v>
      </c>
      <c r="Q18" s="22">
        <f t="shared" si="1"/>
        <v>0.15774300000000002</v>
      </c>
    </row>
    <row r="19" spans="1:17" s="1" customFormat="1" x14ac:dyDescent="0.25">
      <c r="A19" s="1" t="s">
        <v>73</v>
      </c>
      <c r="B19" s="1" t="s">
        <v>7</v>
      </c>
      <c r="C19" s="25" t="s">
        <v>2</v>
      </c>
      <c r="D19" s="2" t="s">
        <v>75</v>
      </c>
      <c r="E19" s="1">
        <v>7.5500000000000006E-5</v>
      </c>
      <c r="F19" s="1">
        <v>-8.9999999999999993E-3</v>
      </c>
      <c r="G19" s="1">
        <v>0.66600000000000004</v>
      </c>
      <c r="H19" s="1">
        <v>0</v>
      </c>
      <c r="I19" s="1">
        <v>0</v>
      </c>
      <c r="J19" s="1">
        <v>0</v>
      </c>
      <c r="K19" s="1">
        <v>0</v>
      </c>
      <c r="L19" s="1">
        <v>0</v>
      </c>
      <c r="M19" s="1">
        <v>0.79</v>
      </c>
      <c r="N19" s="1">
        <v>10</v>
      </c>
      <c r="O19" s="1">
        <v>120</v>
      </c>
      <c r="P19" s="24">
        <f t="shared" si="0"/>
        <v>30</v>
      </c>
      <c r="Q19" s="22">
        <f t="shared" si="1"/>
        <v>9.7429500000000002E-2</v>
      </c>
    </row>
    <row r="20" spans="1:17" s="1" customFormat="1" x14ac:dyDescent="0.25">
      <c r="A20" s="1" t="s">
        <v>73</v>
      </c>
      <c r="B20" s="1" t="s">
        <v>7</v>
      </c>
      <c r="C20" s="25" t="s">
        <v>3</v>
      </c>
      <c r="D20" s="2" t="s">
        <v>75</v>
      </c>
      <c r="E20" s="1">
        <v>7.5500000000000006E-5</v>
      </c>
      <c r="F20" s="1">
        <v>-8.9999999999999993E-3</v>
      </c>
      <c r="G20" s="1">
        <v>0.66600000000000004</v>
      </c>
      <c r="H20" s="1">
        <v>0</v>
      </c>
      <c r="I20" s="1">
        <v>0</v>
      </c>
      <c r="J20" s="1">
        <v>0</v>
      </c>
      <c r="K20" s="1">
        <v>0</v>
      </c>
      <c r="L20" s="1">
        <v>0</v>
      </c>
      <c r="M20" s="1">
        <v>0.9</v>
      </c>
      <c r="N20" s="1">
        <v>10</v>
      </c>
      <c r="O20" s="1">
        <v>120</v>
      </c>
      <c r="P20" s="24">
        <f t="shared" si="0"/>
        <v>30</v>
      </c>
      <c r="Q20" s="22">
        <f t="shared" si="1"/>
        <v>4.6394999999999999E-2</v>
      </c>
    </row>
    <row r="21" spans="1:17" s="1" customFormat="1" x14ac:dyDescent="0.25">
      <c r="A21" s="1" t="s">
        <v>73</v>
      </c>
      <c r="B21" s="1" t="s">
        <v>7</v>
      </c>
      <c r="C21" s="25" t="s">
        <v>4</v>
      </c>
      <c r="D21" s="2" t="s">
        <v>75</v>
      </c>
      <c r="E21" s="1">
        <v>7.5500000000000006E-5</v>
      </c>
      <c r="F21" s="1">
        <v>-8.9999999999999993E-3</v>
      </c>
      <c r="G21" s="1">
        <v>0.66600000000000004</v>
      </c>
      <c r="H21" s="1">
        <v>0</v>
      </c>
      <c r="I21" s="1">
        <v>0</v>
      </c>
      <c r="J21" s="1">
        <v>0</v>
      </c>
      <c r="K21" s="1">
        <v>0</v>
      </c>
      <c r="L21" s="1">
        <v>0</v>
      </c>
      <c r="M21" s="1">
        <v>0.93</v>
      </c>
      <c r="N21" s="1">
        <v>10</v>
      </c>
      <c r="O21" s="1">
        <v>120</v>
      </c>
      <c r="P21" s="24">
        <f t="shared" si="0"/>
        <v>30</v>
      </c>
      <c r="Q21" s="22">
        <f t="shared" si="1"/>
        <v>3.2476499999999985E-2</v>
      </c>
    </row>
    <row r="22" spans="1:17" s="1" customFormat="1" x14ac:dyDescent="0.25">
      <c r="A22" s="1" t="s">
        <v>73</v>
      </c>
      <c r="B22" s="1" t="s">
        <v>7</v>
      </c>
      <c r="C22" s="25" t="s">
        <v>5</v>
      </c>
      <c r="D22" s="2" t="s">
        <v>75</v>
      </c>
      <c r="E22" s="1">
        <v>7.5500000000000006E-5</v>
      </c>
      <c r="F22" s="1">
        <v>-8.9999999999999993E-3</v>
      </c>
      <c r="G22" s="1">
        <v>0.66600000000000004</v>
      </c>
      <c r="H22" s="1">
        <v>0</v>
      </c>
      <c r="I22" s="1">
        <v>0</v>
      </c>
      <c r="J22" s="1">
        <v>0</v>
      </c>
      <c r="K22" s="1">
        <v>0</v>
      </c>
      <c r="L22" s="1">
        <v>0</v>
      </c>
      <c r="M22" s="1">
        <v>0.93</v>
      </c>
      <c r="N22" s="1">
        <v>10</v>
      </c>
      <c r="O22" s="1">
        <v>120</v>
      </c>
      <c r="P22" s="24">
        <f t="shared" si="0"/>
        <v>30</v>
      </c>
      <c r="Q22" s="22">
        <f t="shared" si="1"/>
        <v>3.2476499999999985E-2</v>
      </c>
    </row>
    <row r="23" spans="1:17" s="1" customFormat="1" x14ac:dyDescent="0.25">
      <c r="D23" s="2"/>
      <c r="Q23" s="3"/>
    </row>
    <row r="24" spans="1:17" s="1" customFormat="1" x14ac:dyDescent="0.25">
      <c r="D24" s="2"/>
      <c r="Q24" s="3"/>
    </row>
  </sheetData>
  <autoFilter ref="A8:Q8">
    <sortState ref="A6:R19">
      <sortCondition ref="B5"/>
    </sortState>
  </autoFilter>
  <mergeCells count="1">
    <mergeCell ref="N1:O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showGridLines="0" zoomScale="55" zoomScaleNormal="55" workbookViewId="0">
      <pane xSplit="4" ySplit="8" topLeftCell="E9" activePane="bottomRight" state="frozen"/>
      <selection pane="topRight" activeCell="D1" sqref="D1"/>
      <selection pane="bottomLeft" activeCell="A6" sqref="A6"/>
      <selection pane="bottomRight" activeCell="O2" sqref="O2"/>
    </sheetView>
  </sheetViews>
  <sheetFormatPr defaultRowHeight="15" x14ac:dyDescent="0.25"/>
  <cols>
    <col min="1" max="1" width="19.7109375" style="9" customWidth="1"/>
    <col min="2" max="2" width="29.28515625" style="9" customWidth="1"/>
    <col min="3" max="3" width="9.28515625" style="9" bestFit="1" customWidth="1"/>
    <col min="4" max="4" width="17.85546875" style="9" customWidth="1"/>
    <col min="5" max="5" width="39.140625" style="12" bestFit="1" customWidth="1"/>
    <col min="6" max="12" width="8.42578125" style="9" customWidth="1"/>
    <col min="13" max="14" width="15.7109375" style="10" customWidth="1"/>
    <col min="15" max="15" width="18.7109375" style="10" customWidth="1"/>
    <col min="16" max="16" width="12.140625" style="9" bestFit="1" customWidth="1"/>
    <col min="17" max="16384" width="9.140625" style="9"/>
  </cols>
  <sheetData>
    <row r="1" spans="1:17" s="15" customFormat="1" ht="25.5" customHeight="1" x14ac:dyDescent="0.35">
      <c r="A1" s="74" t="s">
        <v>71</v>
      </c>
      <c r="B1" s="75"/>
      <c r="C1" s="75"/>
      <c r="D1" s="76" t="s">
        <v>8</v>
      </c>
      <c r="E1" s="75"/>
      <c r="M1" s="126" t="s">
        <v>72</v>
      </c>
      <c r="N1" s="126"/>
      <c r="O1" s="79"/>
      <c r="Q1" s="17"/>
    </row>
    <row r="2" spans="1:17" ht="18.75" x14ac:dyDescent="0.3">
      <c r="A2" s="7"/>
      <c r="E2" s="9"/>
      <c r="M2" s="126"/>
      <c r="N2" s="126"/>
      <c r="O2" s="77">
        <v>30</v>
      </c>
    </row>
    <row r="3" spans="1:17" ht="18.75" x14ac:dyDescent="0.3">
      <c r="A3" s="7"/>
      <c r="E3" s="9"/>
      <c r="M3" s="126"/>
      <c r="N3" s="126"/>
      <c r="O3" s="80"/>
    </row>
    <row r="4" spans="1:17" ht="18.75" x14ac:dyDescent="0.3">
      <c r="A4" s="33" t="s">
        <v>85</v>
      </c>
      <c r="E4" s="9"/>
      <c r="M4" s="126"/>
      <c r="N4" s="126"/>
      <c r="O4" s="80"/>
    </row>
    <row r="5" spans="1:17" ht="18.75" x14ac:dyDescent="0.3">
      <c r="A5" s="78" t="s">
        <v>142</v>
      </c>
      <c r="E5" s="9"/>
      <c r="M5" s="126"/>
      <c r="N5" s="126"/>
      <c r="O5" s="80"/>
    </row>
    <row r="6" spans="1:17" ht="18" x14ac:dyDescent="0.25">
      <c r="E6" s="9"/>
      <c r="M6" s="126"/>
      <c r="N6" s="126"/>
      <c r="O6" s="81"/>
    </row>
    <row r="7" spans="1:17" x14ac:dyDescent="0.25">
      <c r="E7" s="9"/>
      <c r="O7" s="9"/>
    </row>
    <row r="8" spans="1:17" s="11" customFormat="1" ht="31.5" x14ac:dyDescent="0.25">
      <c r="A8" s="23" t="s">
        <v>69</v>
      </c>
      <c r="B8" s="23" t="s">
        <v>91</v>
      </c>
      <c r="C8" s="23" t="s">
        <v>92</v>
      </c>
      <c r="D8" s="23" t="s">
        <v>59</v>
      </c>
      <c r="E8" s="23" t="s">
        <v>103</v>
      </c>
      <c r="F8" s="23" t="s">
        <v>42</v>
      </c>
      <c r="G8" s="23" t="s">
        <v>41</v>
      </c>
      <c r="H8" s="23" t="s">
        <v>40</v>
      </c>
      <c r="I8" s="23" t="s">
        <v>39</v>
      </c>
      <c r="J8" s="23" t="s">
        <v>38</v>
      </c>
      <c r="K8" s="23" t="s">
        <v>37</v>
      </c>
      <c r="L8" s="23" t="s">
        <v>36</v>
      </c>
      <c r="M8" s="23" t="s">
        <v>88</v>
      </c>
      <c r="N8" s="23" t="s">
        <v>89</v>
      </c>
      <c r="O8" s="23" t="s">
        <v>74</v>
      </c>
      <c r="P8" s="23" t="s">
        <v>87</v>
      </c>
    </row>
    <row r="9" spans="1:17" x14ac:dyDescent="0.25">
      <c r="E9" s="9"/>
      <c r="O9" s="24"/>
      <c r="P9" s="22"/>
    </row>
    <row r="10" spans="1:17" x14ac:dyDescent="0.25">
      <c r="A10" s="9" t="s">
        <v>155</v>
      </c>
      <c r="B10" s="9" t="s">
        <v>34</v>
      </c>
      <c r="C10" s="9" t="s">
        <v>93</v>
      </c>
      <c r="D10" s="9" t="s">
        <v>60</v>
      </c>
      <c r="E10" s="9" t="s">
        <v>9</v>
      </c>
      <c r="F10" s="9">
        <v>171.39786303553467</v>
      </c>
      <c r="G10" s="9">
        <v>1.0082701383061936</v>
      </c>
      <c r="H10" s="9">
        <v>-0.84529439501721348</v>
      </c>
      <c r="I10" s="9">
        <v>0</v>
      </c>
      <c r="J10" s="9">
        <v>0</v>
      </c>
      <c r="K10" s="9">
        <v>0</v>
      </c>
      <c r="L10" s="9">
        <v>0</v>
      </c>
      <c r="M10" s="10">
        <v>12</v>
      </c>
      <c r="N10" s="10">
        <v>105</v>
      </c>
      <c r="O10" s="24">
        <f t="shared" ref="O10:O40" si="0">IF($O$2&lt;M10,M10,IF($O$2&gt;N10,N10,$O$2))</f>
        <v>30</v>
      </c>
      <c r="P10" s="22">
        <f>((alpha*(beta^speed))*(speed^ceta))</f>
        <v>12.379703266765496</v>
      </c>
    </row>
    <row r="11" spans="1:17" x14ac:dyDescent="0.25">
      <c r="A11" s="9" t="s">
        <v>155</v>
      </c>
      <c r="B11" s="9" t="s">
        <v>34</v>
      </c>
      <c r="C11" s="9" t="s">
        <v>93</v>
      </c>
      <c r="D11" s="9" t="s">
        <v>61</v>
      </c>
      <c r="E11" s="9" t="s">
        <v>9</v>
      </c>
      <c r="F11" s="9">
        <v>159.73039958663819</v>
      </c>
      <c r="G11" s="9">
        <v>1.0087103935301733</v>
      </c>
      <c r="H11" s="9">
        <v>-0.90171865651832461</v>
      </c>
      <c r="I11" s="9">
        <v>0</v>
      </c>
      <c r="J11" s="9">
        <v>0</v>
      </c>
      <c r="K11" s="9">
        <v>0</v>
      </c>
      <c r="L11" s="9">
        <v>0</v>
      </c>
      <c r="M11" s="10">
        <v>12</v>
      </c>
      <c r="N11" s="10">
        <v>105</v>
      </c>
      <c r="O11" s="24">
        <f t="shared" si="0"/>
        <v>30</v>
      </c>
      <c r="P11" s="22">
        <f>((alpha*(beta^speed))*(speed^ceta))</f>
        <v>9.6479413911228349</v>
      </c>
    </row>
    <row r="12" spans="1:17" x14ac:dyDescent="0.25">
      <c r="A12" s="9" t="s">
        <v>155</v>
      </c>
      <c r="B12" s="9" t="s">
        <v>34</v>
      </c>
      <c r="C12" s="9" t="s">
        <v>93</v>
      </c>
      <c r="D12" s="9" t="s">
        <v>62</v>
      </c>
      <c r="E12" s="9" t="s">
        <v>9</v>
      </c>
      <c r="F12" s="9">
        <v>185.1295200028255</v>
      </c>
      <c r="G12" s="9">
        <v>1.0080254185571897</v>
      </c>
      <c r="H12" s="9">
        <v>-0.89862545798984905</v>
      </c>
      <c r="I12" s="9">
        <v>0</v>
      </c>
      <c r="J12" s="9">
        <v>0</v>
      </c>
      <c r="K12" s="9">
        <v>0</v>
      </c>
      <c r="L12" s="9">
        <v>0</v>
      </c>
      <c r="M12" s="10">
        <v>12</v>
      </c>
      <c r="N12" s="10">
        <v>105</v>
      </c>
      <c r="O12" s="24">
        <f t="shared" si="0"/>
        <v>30</v>
      </c>
      <c r="P12" s="22">
        <f>((alpha*(beta^speed))*(speed^ceta))</f>
        <v>11.072391060760665</v>
      </c>
    </row>
    <row r="13" spans="1:17" x14ac:dyDescent="0.25">
      <c r="A13" s="9" t="s">
        <v>155</v>
      </c>
      <c r="B13" s="9" t="s">
        <v>34</v>
      </c>
      <c r="C13" s="9" t="s">
        <v>93</v>
      </c>
      <c r="D13" s="9" t="s">
        <v>63</v>
      </c>
      <c r="E13" s="9" t="s">
        <v>9</v>
      </c>
      <c r="F13" s="9">
        <v>332.32350947419167</v>
      </c>
      <c r="G13" s="9">
        <v>1.010351201154803</v>
      </c>
      <c r="H13" s="9">
        <v>-1.129511490199268</v>
      </c>
      <c r="I13" s="9">
        <v>0</v>
      </c>
      <c r="J13" s="9">
        <v>0</v>
      </c>
      <c r="K13" s="9">
        <v>0</v>
      </c>
      <c r="L13" s="9">
        <v>0</v>
      </c>
      <c r="M13" s="10">
        <v>12</v>
      </c>
      <c r="N13" s="10">
        <v>105</v>
      </c>
      <c r="O13" s="24">
        <f t="shared" si="0"/>
        <v>30</v>
      </c>
      <c r="P13" s="22">
        <f>((alpha*(beta^speed))*(speed^ceta))</f>
        <v>9.7119513727627016</v>
      </c>
    </row>
    <row r="14" spans="1:17" x14ac:dyDescent="0.25">
      <c r="A14" s="9" t="s">
        <v>155</v>
      </c>
      <c r="B14" s="9" t="s">
        <v>34</v>
      </c>
      <c r="C14" s="9" t="s">
        <v>93</v>
      </c>
      <c r="D14" s="9" t="s">
        <v>90</v>
      </c>
      <c r="E14" s="9" t="s">
        <v>94</v>
      </c>
      <c r="F14" s="9">
        <v>3.5148886542992872</v>
      </c>
      <c r="G14" s="9">
        <v>186.99368965727035</v>
      </c>
      <c r="H14" s="9">
        <v>-0.58949327345341607</v>
      </c>
      <c r="I14" s="9">
        <v>0.82134816193512694</v>
      </c>
      <c r="J14" s="9">
        <v>2.6961146709704304E-2</v>
      </c>
      <c r="K14" s="9">
        <v>0</v>
      </c>
      <c r="L14" s="9">
        <v>0</v>
      </c>
      <c r="M14" s="10">
        <v>12</v>
      </c>
      <c r="N14" s="10">
        <v>105</v>
      </c>
      <c r="O14" s="24">
        <f t="shared" si="0"/>
        <v>30</v>
      </c>
      <c r="P14" s="22">
        <f>(alpha+(beta/(1+EXP((((-1)*ceta)+(delta*LN(speed)))+(epsilon*speed)))))</f>
        <v>6.2996871001704537</v>
      </c>
    </row>
    <row r="15" spans="1:17" x14ac:dyDescent="0.25">
      <c r="A15" s="9" t="s">
        <v>155</v>
      </c>
      <c r="B15" s="9" t="s">
        <v>34</v>
      </c>
      <c r="C15" s="9" t="s">
        <v>93</v>
      </c>
      <c r="D15" s="9" t="s">
        <v>64</v>
      </c>
      <c r="E15" s="9" t="s">
        <v>9</v>
      </c>
      <c r="F15" s="9">
        <v>73.616963946198084</v>
      </c>
      <c r="G15" s="9">
        <v>1.0083902326791887</v>
      </c>
      <c r="H15" s="9">
        <v>-0.94435229318821956</v>
      </c>
      <c r="I15" s="9">
        <v>0</v>
      </c>
      <c r="J15" s="9">
        <v>0</v>
      </c>
      <c r="K15" s="9">
        <v>0</v>
      </c>
      <c r="L15" s="9">
        <v>0</v>
      </c>
      <c r="M15" s="10">
        <v>12</v>
      </c>
      <c r="N15" s="10">
        <v>105</v>
      </c>
      <c r="O15" s="24">
        <f t="shared" si="0"/>
        <v>30</v>
      </c>
      <c r="P15" s="22">
        <f>((alpha*(beta^speed))*(speed^ceta))</f>
        <v>3.8099034606148527</v>
      </c>
    </row>
    <row r="16" spans="1:17" x14ac:dyDescent="0.25">
      <c r="A16" s="9" t="s">
        <v>155</v>
      </c>
      <c r="B16" s="9" t="s">
        <v>34</v>
      </c>
      <c r="C16" s="9" t="s">
        <v>93</v>
      </c>
      <c r="D16" s="9" t="s">
        <v>65</v>
      </c>
      <c r="E16" s="9" t="s">
        <v>9</v>
      </c>
      <c r="F16" s="9">
        <v>119.08809493068142</v>
      </c>
      <c r="G16" s="9">
        <v>0.98559248559049584</v>
      </c>
      <c r="H16" s="9">
        <v>-0.61943277169444455</v>
      </c>
      <c r="I16" s="9">
        <v>0</v>
      </c>
      <c r="J16" s="9">
        <v>0</v>
      </c>
      <c r="K16" s="9">
        <v>0</v>
      </c>
      <c r="L16" s="9">
        <v>0</v>
      </c>
      <c r="M16" s="10">
        <v>12</v>
      </c>
      <c r="N16" s="10">
        <v>105</v>
      </c>
      <c r="O16" s="24">
        <f t="shared" si="0"/>
        <v>30</v>
      </c>
      <c r="P16" s="22">
        <f>((alpha*(beta^speed))*(speed^ceta))</f>
        <v>9.3715741274315114</v>
      </c>
    </row>
    <row r="17" spans="1:16" x14ac:dyDescent="0.25">
      <c r="A17" s="9" t="s">
        <v>155</v>
      </c>
      <c r="B17" s="9" t="s">
        <v>34</v>
      </c>
      <c r="C17" s="9" t="s">
        <v>93</v>
      </c>
      <c r="D17" s="9" t="s">
        <v>66</v>
      </c>
      <c r="E17" s="9" t="s">
        <v>27</v>
      </c>
      <c r="F17" s="9">
        <v>0.20268652355480524</v>
      </c>
      <c r="G17" s="9">
        <v>2.4217456725182648E-2</v>
      </c>
      <c r="H17" s="9">
        <v>0.5298972091968106</v>
      </c>
      <c r="I17" s="9">
        <v>0</v>
      </c>
      <c r="J17" s="9">
        <v>0</v>
      </c>
      <c r="K17" s="9">
        <v>0</v>
      </c>
      <c r="L17" s="9">
        <v>0</v>
      </c>
      <c r="M17" s="10">
        <v>12</v>
      </c>
      <c r="N17" s="10">
        <v>105</v>
      </c>
      <c r="O17" s="24">
        <f t="shared" si="0"/>
        <v>30</v>
      </c>
      <c r="P17" s="22">
        <f>((alpha+(beta*speed))^((-1)/ceta))</f>
        <v>1.1486136466761383</v>
      </c>
    </row>
    <row r="18" spans="1:16" x14ac:dyDescent="0.25">
      <c r="A18" s="9" t="s">
        <v>155</v>
      </c>
      <c r="B18" s="9" t="s">
        <v>33</v>
      </c>
      <c r="C18" s="9" t="s">
        <v>93</v>
      </c>
      <c r="D18" s="9" t="s">
        <v>60</v>
      </c>
      <c r="E18" s="9" t="s">
        <v>9</v>
      </c>
      <c r="F18" s="9">
        <v>186.9427250223342</v>
      </c>
      <c r="G18" s="9">
        <v>1.0063117009573816</v>
      </c>
      <c r="H18" s="9">
        <v>-0.78922234844048766</v>
      </c>
      <c r="I18" s="9">
        <v>0</v>
      </c>
      <c r="J18" s="9">
        <v>0</v>
      </c>
      <c r="K18" s="9">
        <v>0</v>
      </c>
      <c r="L18" s="9">
        <v>0</v>
      </c>
      <c r="M18" s="10">
        <v>12</v>
      </c>
      <c r="N18" s="10">
        <v>105</v>
      </c>
      <c r="O18" s="24">
        <f t="shared" si="0"/>
        <v>30</v>
      </c>
      <c r="P18" s="22">
        <f>((alpha*(beta^speed))*(speed^ceta))</f>
        <v>15.413708400528897</v>
      </c>
    </row>
    <row r="19" spans="1:16" x14ac:dyDescent="0.25">
      <c r="A19" s="9" t="s">
        <v>155</v>
      </c>
      <c r="B19" s="9" t="s">
        <v>33</v>
      </c>
      <c r="C19" s="9" t="s">
        <v>93</v>
      </c>
      <c r="D19" s="9" t="s">
        <v>61</v>
      </c>
      <c r="E19" s="9" t="s">
        <v>9</v>
      </c>
      <c r="F19" s="9">
        <v>166.20593926130971</v>
      </c>
      <c r="G19" s="9">
        <v>1.0064825246256985</v>
      </c>
      <c r="H19" s="9">
        <v>-0.83415814785601428</v>
      </c>
      <c r="I19" s="9">
        <v>0</v>
      </c>
      <c r="J19" s="9">
        <v>0</v>
      </c>
      <c r="K19" s="9">
        <v>0</v>
      </c>
      <c r="L19" s="9">
        <v>0</v>
      </c>
      <c r="M19" s="10">
        <v>12</v>
      </c>
      <c r="N19" s="10">
        <v>105</v>
      </c>
      <c r="O19" s="24">
        <f t="shared" si="0"/>
        <v>30</v>
      </c>
      <c r="P19" s="22">
        <f>((alpha*(beta^speed))*(speed^ceta))</f>
        <v>11.821728209428269</v>
      </c>
    </row>
    <row r="20" spans="1:16" x14ac:dyDescent="0.25">
      <c r="A20" s="9" t="s">
        <v>155</v>
      </c>
      <c r="B20" s="9" t="s">
        <v>33</v>
      </c>
      <c r="C20" s="9" t="s">
        <v>93</v>
      </c>
      <c r="D20" s="9" t="s">
        <v>62</v>
      </c>
      <c r="E20" s="9" t="s">
        <v>9</v>
      </c>
      <c r="F20" s="9">
        <v>190.90973994913136</v>
      </c>
      <c r="G20" s="9">
        <v>1.0062412758619035</v>
      </c>
      <c r="H20" s="9">
        <v>-0.84223542823117437</v>
      </c>
      <c r="I20" s="9">
        <v>0</v>
      </c>
      <c r="J20" s="9">
        <v>0</v>
      </c>
      <c r="K20" s="9">
        <v>0</v>
      </c>
      <c r="L20" s="9">
        <v>0</v>
      </c>
      <c r="M20" s="10">
        <v>12</v>
      </c>
      <c r="N20" s="10">
        <v>105</v>
      </c>
      <c r="O20" s="24">
        <f t="shared" si="0"/>
        <v>30</v>
      </c>
      <c r="P20" s="22">
        <f>((alpha*(beta^speed))*(speed^ceta))</f>
        <v>13.116201348933791</v>
      </c>
    </row>
    <row r="21" spans="1:16" x14ac:dyDescent="0.25">
      <c r="A21" s="9" t="s">
        <v>155</v>
      </c>
      <c r="B21" s="9" t="s">
        <v>33</v>
      </c>
      <c r="C21" s="9" t="s">
        <v>93</v>
      </c>
      <c r="D21" s="9" t="s">
        <v>63</v>
      </c>
      <c r="E21" s="9" t="s">
        <v>9</v>
      </c>
      <c r="F21" s="9">
        <v>263.23601727827588</v>
      </c>
      <c r="G21" s="9">
        <v>1.0073767275648557</v>
      </c>
      <c r="H21" s="9">
        <v>-1.0013450839433224</v>
      </c>
      <c r="I21" s="9">
        <v>0</v>
      </c>
      <c r="J21" s="9">
        <v>0</v>
      </c>
      <c r="K21" s="9">
        <v>0</v>
      </c>
      <c r="L21" s="9">
        <v>0</v>
      </c>
      <c r="M21" s="10">
        <v>12</v>
      </c>
      <c r="N21" s="10">
        <v>105</v>
      </c>
      <c r="O21" s="24">
        <f t="shared" si="0"/>
        <v>30</v>
      </c>
      <c r="P21" s="22">
        <f>((alpha*(beta^speed))*(speed^ceta))</f>
        <v>10.889165821038494</v>
      </c>
    </row>
    <row r="22" spans="1:16" x14ac:dyDescent="0.25">
      <c r="A22" s="9" t="s">
        <v>155</v>
      </c>
      <c r="B22" s="9" t="s">
        <v>33</v>
      </c>
      <c r="C22" s="9" t="s">
        <v>93</v>
      </c>
      <c r="D22" s="9" t="s">
        <v>90</v>
      </c>
      <c r="E22" s="9" t="s">
        <v>94</v>
      </c>
      <c r="F22" s="9">
        <v>3.6993177897912397</v>
      </c>
      <c r="G22" s="9">
        <v>192.404220839777</v>
      </c>
      <c r="H22" s="9">
        <v>-0.62765036682566433</v>
      </c>
      <c r="I22" s="9">
        <v>0.79846453712249621</v>
      </c>
      <c r="J22" s="9">
        <v>2.2146760375093926E-2</v>
      </c>
      <c r="K22" s="9">
        <v>0</v>
      </c>
      <c r="L22" s="9">
        <v>0</v>
      </c>
      <c r="M22" s="10">
        <v>12</v>
      </c>
      <c r="N22" s="10">
        <v>105</v>
      </c>
      <c r="O22" s="24">
        <f t="shared" si="0"/>
        <v>30</v>
      </c>
      <c r="P22" s="22">
        <f>(alpha+(beta/(1+EXP((((-1)*ceta)+(delta*LN(speed)))+(epsilon*speed)))))</f>
        <v>7.1335707771407524</v>
      </c>
    </row>
    <row r="23" spans="1:16" x14ac:dyDescent="0.25">
      <c r="A23" s="9" t="s">
        <v>155</v>
      </c>
      <c r="B23" s="9" t="s">
        <v>33</v>
      </c>
      <c r="C23" s="9" t="s">
        <v>93</v>
      </c>
      <c r="D23" s="9" t="s">
        <v>64</v>
      </c>
      <c r="E23" s="9" t="s">
        <v>94</v>
      </c>
      <c r="F23" s="9">
        <v>2.200104299417315</v>
      </c>
      <c r="G23" s="9">
        <v>89.348819638256671</v>
      </c>
      <c r="H23" s="9">
        <v>-0.27097382237443224</v>
      </c>
      <c r="I23" s="9">
        <v>0.83020955608754576</v>
      </c>
      <c r="J23" s="9">
        <v>2.0903047746602264E-2</v>
      </c>
      <c r="K23" s="9">
        <v>0</v>
      </c>
      <c r="L23" s="9">
        <v>0</v>
      </c>
      <c r="M23" s="10">
        <v>12</v>
      </c>
      <c r="N23" s="10">
        <v>105</v>
      </c>
      <c r="O23" s="24">
        <f t="shared" si="0"/>
        <v>30</v>
      </c>
      <c r="P23" s="22">
        <f>(alpha+(beta/(1+EXP((((-1)*ceta)+(delta*LN(speed)))+(epsilon*speed)))))</f>
        <v>4.31049502677498</v>
      </c>
    </row>
    <row r="24" spans="1:16" x14ac:dyDescent="0.25">
      <c r="A24" s="9" t="s">
        <v>155</v>
      </c>
      <c r="B24" s="9" t="s">
        <v>33</v>
      </c>
      <c r="C24" s="9" t="s">
        <v>93</v>
      </c>
      <c r="D24" s="9" t="s">
        <v>65</v>
      </c>
      <c r="E24" s="9" t="s">
        <v>9</v>
      </c>
      <c r="F24" s="9">
        <v>151.50153105386644</v>
      </c>
      <c r="G24" s="9">
        <v>0.98618718466470456</v>
      </c>
      <c r="H24" s="9">
        <v>-0.67407557204762214</v>
      </c>
      <c r="I24" s="9">
        <v>0</v>
      </c>
      <c r="J24" s="9">
        <v>0</v>
      </c>
      <c r="K24" s="9">
        <v>0</v>
      </c>
      <c r="L24" s="9">
        <v>0</v>
      </c>
      <c r="M24" s="10">
        <v>12</v>
      </c>
      <c r="N24" s="10">
        <v>105</v>
      </c>
      <c r="O24" s="24">
        <f t="shared" si="0"/>
        <v>30</v>
      </c>
      <c r="P24" s="22">
        <f>((alpha*(beta^speed))*(speed^ceta))</f>
        <v>10.081062481796344</v>
      </c>
    </row>
    <row r="25" spans="1:16" x14ac:dyDescent="0.25">
      <c r="A25" s="9" t="s">
        <v>155</v>
      </c>
      <c r="B25" s="9" t="s">
        <v>33</v>
      </c>
      <c r="C25" s="9" t="s">
        <v>93</v>
      </c>
      <c r="D25" s="9" t="s">
        <v>66</v>
      </c>
      <c r="E25" s="9" t="s">
        <v>9</v>
      </c>
      <c r="F25" s="9">
        <v>98.740520039053067</v>
      </c>
      <c r="G25" s="9">
        <v>0.99219336258765622</v>
      </c>
      <c r="H25" s="9">
        <v>-1.2346022332743143</v>
      </c>
      <c r="I25" s="9">
        <v>0</v>
      </c>
      <c r="J25" s="9">
        <v>0</v>
      </c>
      <c r="K25" s="9">
        <v>0</v>
      </c>
      <c r="L25" s="9">
        <v>0</v>
      </c>
      <c r="M25" s="10">
        <v>12</v>
      </c>
      <c r="N25" s="10">
        <v>105</v>
      </c>
      <c r="O25" s="24">
        <f t="shared" si="0"/>
        <v>30</v>
      </c>
      <c r="P25" s="22">
        <f>((alpha*(beta^speed))*(speed^ceta))</f>
        <v>1.1714607267467732</v>
      </c>
    </row>
    <row r="26" spans="1:16" x14ac:dyDescent="0.25">
      <c r="A26" s="9" t="s">
        <v>30</v>
      </c>
      <c r="B26" s="9" t="s">
        <v>32</v>
      </c>
      <c r="C26" s="9" t="s">
        <v>93</v>
      </c>
      <c r="D26" s="9" t="s">
        <v>60</v>
      </c>
      <c r="E26" s="9" t="s">
        <v>9</v>
      </c>
      <c r="F26" s="9">
        <v>80.803859176949857</v>
      </c>
      <c r="G26" s="9">
        <v>1.0082425514934938</v>
      </c>
      <c r="H26" s="9">
        <v>-0.70657923935711175</v>
      </c>
      <c r="I26" s="9">
        <v>0</v>
      </c>
      <c r="J26" s="9">
        <v>0</v>
      </c>
      <c r="K26" s="9">
        <v>0</v>
      </c>
      <c r="L26" s="9">
        <v>0</v>
      </c>
      <c r="M26" s="10">
        <v>11</v>
      </c>
      <c r="N26" s="10">
        <v>86</v>
      </c>
      <c r="O26" s="24">
        <f t="shared" si="0"/>
        <v>30</v>
      </c>
      <c r="P26" s="22">
        <f>((alpha*(beta^speed))*(speed^ceta))</f>
        <v>9.3471574701047846</v>
      </c>
    </row>
    <row r="27" spans="1:16" x14ac:dyDescent="0.25">
      <c r="A27" s="9" t="s">
        <v>30</v>
      </c>
      <c r="B27" s="9" t="s">
        <v>32</v>
      </c>
      <c r="C27" s="9" t="s">
        <v>93</v>
      </c>
      <c r="D27" s="9" t="s">
        <v>61</v>
      </c>
      <c r="E27" s="9" t="s">
        <v>13</v>
      </c>
      <c r="F27" s="9">
        <v>9.0101801635057086</v>
      </c>
      <c r="G27" s="9">
        <v>-0.19443493148839366</v>
      </c>
      <c r="H27" s="9">
        <v>90.970460461285739</v>
      </c>
      <c r="I27" s="9">
        <v>-1.0820782214052753</v>
      </c>
      <c r="J27" s="9">
        <v>0</v>
      </c>
      <c r="K27" s="9">
        <v>0</v>
      </c>
      <c r="L27" s="9">
        <v>0</v>
      </c>
      <c r="M27" s="10">
        <v>11</v>
      </c>
      <c r="N27" s="10">
        <v>86</v>
      </c>
      <c r="O27" s="24">
        <f t="shared" si="0"/>
        <v>30</v>
      </c>
      <c r="P27" s="22">
        <f>((alpha*(speed^beta))+(ceta*(speed^delta)))</f>
        <v>6.9445357644511088</v>
      </c>
    </row>
    <row r="28" spans="1:16" x14ac:dyDescent="0.25">
      <c r="A28" s="9" t="s">
        <v>30</v>
      </c>
      <c r="B28" s="9" t="s">
        <v>32</v>
      </c>
      <c r="C28" s="9" t="s">
        <v>93</v>
      </c>
      <c r="D28" s="9" t="s">
        <v>62</v>
      </c>
      <c r="E28" s="9" t="s">
        <v>13</v>
      </c>
      <c r="F28" s="9">
        <v>10.857021227638841</v>
      </c>
      <c r="G28" s="9">
        <v>-0.21703601362184274</v>
      </c>
      <c r="H28" s="9">
        <v>110.63871427132867</v>
      </c>
      <c r="I28" s="9">
        <v>-1.1309079248321534</v>
      </c>
      <c r="J28" s="9">
        <v>0</v>
      </c>
      <c r="K28" s="9">
        <v>0</v>
      </c>
      <c r="L28" s="9">
        <v>0</v>
      </c>
      <c r="M28" s="10">
        <v>11</v>
      </c>
      <c r="N28" s="10">
        <v>86</v>
      </c>
      <c r="O28" s="24">
        <f t="shared" si="0"/>
        <v>30</v>
      </c>
      <c r="P28" s="22">
        <f>((alpha*(speed^beta))+(ceta*(speed^delta)))</f>
        <v>7.5522167251636247</v>
      </c>
    </row>
    <row r="29" spans="1:16" x14ac:dyDescent="0.25">
      <c r="A29" s="9" t="s">
        <v>30</v>
      </c>
      <c r="B29" s="9" t="s">
        <v>32</v>
      </c>
      <c r="C29" s="9" t="s">
        <v>93</v>
      </c>
      <c r="D29" s="9" t="s">
        <v>63</v>
      </c>
      <c r="E29" s="9" t="s">
        <v>13</v>
      </c>
      <c r="F29" s="9">
        <v>326.96227626520948</v>
      </c>
      <c r="G29" s="9">
        <v>-1.7709799310102035</v>
      </c>
      <c r="H29" s="9">
        <v>40.112126531513645</v>
      </c>
      <c r="I29" s="9">
        <v>-0.57716144378674339</v>
      </c>
      <c r="J29" s="9">
        <v>0</v>
      </c>
      <c r="K29" s="9">
        <v>0</v>
      </c>
      <c r="L29" s="9">
        <v>0</v>
      </c>
      <c r="M29" s="10">
        <v>11</v>
      </c>
      <c r="N29" s="10">
        <v>86</v>
      </c>
      <c r="O29" s="24">
        <f t="shared" si="0"/>
        <v>30</v>
      </c>
      <c r="P29" s="22">
        <f>((alpha*(speed^beta))+(ceta*(speed^delta)))</f>
        <v>6.4246530193321245</v>
      </c>
    </row>
    <row r="30" spans="1:16" x14ac:dyDescent="0.25">
      <c r="A30" s="9" t="s">
        <v>30</v>
      </c>
      <c r="B30" s="9" t="s">
        <v>32</v>
      </c>
      <c r="C30" s="9" t="s">
        <v>93</v>
      </c>
      <c r="D30" s="9" t="s">
        <v>90</v>
      </c>
      <c r="E30" s="9" t="s">
        <v>13</v>
      </c>
      <c r="F30" s="9">
        <v>24.655226609525645</v>
      </c>
      <c r="G30" s="9">
        <v>-0.5301408289794608</v>
      </c>
      <c r="H30" s="9">
        <v>2193.234325589865</v>
      </c>
      <c r="I30" s="9">
        <v>-3.536654107161918</v>
      </c>
      <c r="J30" s="9">
        <v>0</v>
      </c>
      <c r="K30" s="9">
        <v>0</v>
      </c>
      <c r="L30" s="9">
        <v>0</v>
      </c>
      <c r="M30" s="10">
        <v>11</v>
      </c>
      <c r="N30" s="10">
        <v>86</v>
      </c>
      <c r="O30" s="24">
        <f t="shared" si="0"/>
        <v>30</v>
      </c>
      <c r="P30" s="22">
        <f>((alpha*(speed^beta))+(ceta*(speed^delta)))</f>
        <v>4.0759042290709431</v>
      </c>
    </row>
    <row r="31" spans="1:16" x14ac:dyDescent="0.25">
      <c r="A31" s="9" t="s">
        <v>30</v>
      </c>
      <c r="B31" s="9" t="s">
        <v>32</v>
      </c>
      <c r="C31" s="9" t="s">
        <v>93</v>
      </c>
      <c r="D31" s="9" t="s">
        <v>64</v>
      </c>
      <c r="E31" s="9" t="s">
        <v>95</v>
      </c>
      <c r="F31" s="9">
        <v>2.5408483718310788</v>
      </c>
      <c r="G31" s="9">
        <v>1.5384140893702543</v>
      </c>
      <c r="H31" s="9">
        <v>-0.50081432134944981</v>
      </c>
      <c r="I31" s="9">
        <v>0</v>
      </c>
      <c r="J31" s="9">
        <v>0</v>
      </c>
      <c r="K31" s="9">
        <v>0</v>
      </c>
      <c r="L31" s="9">
        <v>0</v>
      </c>
      <c r="M31" s="10">
        <v>11</v>
      </c>
      <c r="N31" s="10">
        <v>86</v>
      </c>
      <c r="O31" s="24">
        <f t="shared" si="0"/>
        <v>30</v>
      </c>
      <c r="P31" s="22">
        <f>EXP((alpha+(beta/speed))+(ceta*LN(speed)))</f>
        <v>2.4321131365967008</v>
      </c>
    </row>
    <row r="32" spans="1:16" x14ac:dyDescent="0.25">
      <c r="A32" s="9" t="s">
        <v>30</v>
      </c>
      <c r="B32" s="9" t="s">
        <v>32</v>
      </c>
      <c r="C32" s="9" t="s">
        <v>93</v>
      </c>
      <c r="D32" s="9" t="s">
        <v>65</v>
      </c>
      <c r="E32" s="9" t="s">
        <v>94</v>
      </c>
      <c r="F32" s="9">
        <v>1.5310190320601231</v>
      </c>
      <c r="G32" s="9">
        <v>43.338719263803085</v>
      </c>
      <c r="H32" s="9">
        <v>-8.7468017450789637E-2</v>
      </c>
      <c r="I32" s="9">
        <v>0.27884604419787645</v>
      </c>
      <c r="J32" s="9">
        <v>4.8563514315071075E-2</v>
      </c>
      <c r="K32" s="9">
        <v>0</v>
      </c>
      <c r="L32" s="9">
        <v>0</v>
      </c>
      <c r="M32" s="10">
        <v>11</v>
      </c>
      <c r="N32" s="10">
        <v>86</v>
      </c>
      <c r="O32" s="24">
        <f t="shared" si="0"/>
        <v>30</v>
      </c>
      <c r="P32" s="22">
        <f>(alpha+(beta/(1+EXP((((-1)*ceta)+(delta*LN(speed)))+(epsilon*speed)))))</f>
        <v>4.8406066590706978</v>
      </c>
    </row>
    <row r="33" spans="1:16" x14ac:dyDescent="0.25">
      <c r="A33" s="9" t="s">
        <v>30</v>
      </c>
      <c r="B33" s="9" t="s">
        <v>32</v>
      </c>
      <c r="C33" s="9" t="s">
        <v>93</v>
      </c>
      <c r="D33" s="9" t="s">
        <v>66</v>
      </c>
      <c r="E33" s="9" t="s">
        <v>9</v>
      </c>
      <c r="F33" s="9">
        <v>58.540517382475194</v>
      </c>
      <c r="G33" s="9">
        <v>1.0044413812753841</v>
      </c>
      <c r="H33" s="9">
        <v>-1.5085089108489238</v>
      </c>
      <c r="I33" s="9">
        <v>0</v>
      </c>
      <c r="J33" s="9">
        <v>0</v>
      </c>
      <c r="K33" s="9">
        <v>0</v>
      </c>
      <c r="L33" s="9">
        <v>0</v>
      </c>
      <c r="M33" s="10">
        <v>11</v>
      </c>
      <c r="N33" s="10">
        <v>86</v>
      </c>
      <c r="O33" s="24">
        <f t="shared" si="0"/>
        <v>30</v>
      </c>
      <c r="P33" s="22">
        <f>((alpha*(beta^speed))*(speed^ceta))</f>
        <v>0.3953155330860233</v>
      </c>
    </row>
    <row r="34" spans="1:16" x14ac:dyDescent="0.25">
      <c r="A34" s="9" t="s">
        <v>30</v>
      </c>
      <c r="B34" s="9" t="s">
        <v>31</v>
      </c>
      <c r="C34" s="9" t="s">
        <v>93</v>
      </c>
      <c r="D34" s="9" t="s">
        <v>60</v>
      </c>
      <c r="E34" s="9" t="s">
        <v>9</v>
      </c>
      <c r="F34" s="9">
        <v>98.229633741997489</v>
      </c>
      <c r="G34" s="9">
        <v>1.0040361649240623</v>
      </c>
      <c r="H34" s="9">
        <v>-0.5859544907643075</v>
      </c>
      <c r="I34" s="9">
        <v>0</v>
      </c>
      <c r="J34" s="9">
        <v>0</v>
      </c>
      <c r="K34" s="9">
        <v>0</v>
      </c>
      <c r="L34" s="9">
        <v>0</v>
      </c>
      <c r="M34" s="10">
        <v>11</v>
      </c>
      <c r="N34" s="10">
        <v>86</v>
      </c>
      <c r="O34" s="24">
        <f t="shared" si="0"/>
        <v>30</v>
      </c>
      <c r="P34" s="22">
        <f>((alpha*(beta^speed))*(speed^ceta))</f>
        <v>15.107666091782262</v>
      </c>
    </row>
    <row r="35" spans="1:16" x14ac:dyDescent="0.25">
      <c r="A35" s="9" t="s">
        <v>30</v>
      </c>
      <c r="B35" s="9" t="s">
        <v>31</v>
      </c>
      <c r="C35" s="9" t="s">
        <v>93</v>
      </c>
      <c r="D35" s="9" t="s">
        <v>61</v>
      </c>
      <c r="E35" s="9" t="s">
        <v>95</v>
      </c>
      <c r="F35" s="9">
        <v>3.3337196632986199</v>
      </c>
      <c r="G35" s="9">
        <v>3.4086908484777179</v>
      </c>
      <c r="H35" s="9">
        <v>-0.3582527198579788</v>
      </c>
      <c r="I35" s="9">
        <v>0</v>
      </c>
      <c r="J35" s="9">
        <v>0</v>
      </c>
      <c r="K35" s="9">
        <v>0</v>
      </c>
      <c r="L35" s="9">
        <v>0</v>
      </c>
      <c r="M35" s="10">
        <v>11</v>
      </c>
      <c r="N35" s="10">
        <v>86</v>
      </c>
      <c r="O35" s="24">
        <f t="shared" si="0"/>
        <v>30</v>
      </c>
      <c r="P35" s="22">
        <f>EXP((alpha+(beta/speed))+(ceta*LN(speed)))</f>
        <v>9.2892189853827478</v>
      </c>
    </row>
    <row r="36" spans="1:16" x14ac:dyDescent="0.25">
      <c r="A36" s="9" t="s">
        <v>30</v>
      </c>
      <c r="B36" s="9" t="s">
        <v>31</v>
      </c>
      <c r="C36" s="9" t="s">
        <v>93</v>
      </c>
      <c r="D36" s="9" t="s">
        <v>62</v>
      </c>
      <c r="E36" s="9" t="s">
        <v>94</v>
      </c>
      <c r="F36" s="9">
        <v>3.9093558608108583</v>
      </c>
      <c r="G36" s="9">
        <v>177.76044459291651</v>
      </c>
      <c r="H36" s="9">
        <v>-0.40545741027882209</v>
      </c>
      <c r="I36" s="9">
        <v>0.85669349521538274</v>
      </c>
      <c r="J36" s="9">
        <v>7.1237477187956904E-4</v>
      </c>
      <c r="K36" s="9">
        <v>0</v>
      </c>
      <c r="L36" s="9">
        <v>0</v>
      </c>
      <c r="M36" s="10">
        <v>11</v>
      </c>
      <c r="N36" s="10">
        <v>86</v>
      </c>
      <c r="O36" s="24">
        <f t="shared" si="0"/>
        <v>30</v>
      </c>
      <c r="P36" s="22">
        <f>(alpha+(beta/(1+EXP((((-1)*ceta)+(delta*LN(speed)))+(epsilon*speed)))))</f>
        <v>9.9894606560104933</v>
      </c>
    </row>
    <row r="37" spans="1:16" x14ac:dyDescent="0.25">
      <c r="A37" s="9" t="s">
        <v>30</v>
      </c>
      <c r="B37" s="9" t="s">
        <v>31</v>
      </c>
      <c r="C37" s="9" t="s">
        <v>93</v>
      </c>
      <c r="D37" s="9" t="s">
        <v>63</v>
      </c>
      <c r="E37" s="9" t="s">
        <v>13</v>
      </c>
      <c r="F37" s="9">
        <v>574.647967886689</v>
      </c>
      <c r="G37" s="9">
        <v>-1.9594665034790757</v>
      </c>
      <c r="H37" s="9">
        <v>51.9988820689778</v>
      </c>
      <c r="I37" s="9">
        <v>-0.56180189821725257</v>
      </c>
      <c r="J37" s="9">
        <v>0</v>
      </c>
      <c r="K37" s="9">
        <v>0</v>
      </c>
      <c r="L37" s="9">
        <v>0</v>
      </c>
      <c r="M37" s="10">
        <v>11</v>
      </c>
      <c r="N37" s="10">
        <v>86</v>
      </c>
      <c r="O37" s="24">
        <f t="shared" si="0"/>
        <v>30</v>
      </c>
      <c r="P37" s="22">
        <f>((alpha*(speed^beta))+(ceta*(speed^delta)))</f>
        <v>8.426742549539588</v>
      </c>
    </row>
    <row r="38" spans="1:16" x14ac:dyDescent="0.25">
      <c r="A38" s="9" t="s">
        <v>30</v>
      </c>
      <c r="B38" s="9" t="s">
        <v>31</v>
      </c>
      <c r="C38" s="9" t="s">
        <v>93</v>
      </c>
      <c r="D38" s="9" t="s">
        <v>90</v>
      </c>
      <c r="E38" s="9" t="s">
        <v>95</v>
      </c>
      <c r="F38" s="9">
        <v>3.3387061508286955</v>
      </c>
      <c r="G38" s="9">
        <v>1.0234647920898179</v>
      </c>
      <c r="H38" s="9">
        <v>-0.4930243004847113</v>
      </c>
      <c r="I38" s="9">
        <v>0</v>
      </c>
      <c r="J38" s="9">
        <v>0</v>
      </c>
      <c r="K38" s="9">
        <v>0</v>
      </c>
      <c r="L38" s="9">
        <v>0</v>
      </c>
      <c r="M38" s="10">
        <v>11</v>
      </c>
      <c r="N38" s="10">
        <v>86</v>
      </c>
      <c r="O38" s="24">
        <f t="shared" si="0"/>
        <v>30</v>
      </c>
      <c r="P38" s="22">
        <f>EXP((alpha+(beta/speed))+(ceta*LN(speed)))</f>
        <v>5.4518155628301912</v>
      </c>
    </row>
    <row r="39" spans="1:16" x14ac:dyDescent="0.25">
      <c r="A39" s="9" t="s">
        <v>30</v>
      </c>
      <c r="B39" s="9" t="s">
        <v>31</v>
      </c>
      <c r="C39" s="9" t="s">
        <v>93</v>
      </c>
      <c r="D39" s="9" t="s">
        <v>64</v>
      </c>
      <c r="E39" s="9" t="s">
        <v>95</v>
      </c>
      <c r="F39" s="9">
        <v>2.846960263814371</v>
      </c>
      <c r="G39" s="9">
        <v>0.95477530329803961</v>
      </c>
      <c r="H39" s="9">
        <v>-0.49988092832159997</v>
      </c>
      <c r="I39" s="9">
        <v>0</v>
      </c>
      <c r="J39" s="9">
        <v>0</v>
      </c>
      <c r="K39" s="9">
        <v>0</v>
      </c>
      <c r="L39" s="9">
        <v>0</v>
      </c>
      <c r="M39" s="10">
        <v>11</v>
      </c>
      <c r="N39" s="10">
        <v>86</v>
      </c>
      <c r="O39" s="24">
        <f t="shared" si="0"/>
        <v>30</v>
      </c>
      <c r="P39" s="22">
        <f>EXP((alpha+(beta/speed))+(ceta*LN(speed)))</f>
        <v>3.2497965770551454</v>
      </c>
    </row>
    <row r="40" spans="1:16" x14ac:dyDescent="0.25">
      <c r="A40" s="9" t="s">
        <v>30</v>
      </c>
      <c r="B40" s="9" t="s">
        <v>31</v>
      </c>
      <c r="C40" s="9" t="s">
        <v>93</v>
      </c>
      <c r="D40" s="9" t="s">
        <v>65</v>
      </c>
      <c r="E40" s="9" t="s">
        <v>12</v>
      </c>
      <c r="F40" s="9">
        <v>-4.7244554717092299E-5</v>
      </c>
      <c r="G40" s="9">
        <v>1.0397688272737753E-2</v>
      </c>
      <c r="H40" s="9">
        <v>-0.76477099551562278</v>
      </c>
      <c r="I40" s="9">
        <v>20.945680366530109</v>
      </c>
      <c r="J40" s="9">
        <v>0</v>
      </c>
      <c r="K40" s="9">
        <v>0</v>
      </c>
      <c r="L40" s="9">
        <v>0</v>
      </c>
      <c r="M40" s="10">
        <v>11</v>
      </c>
      <c r="N40" s="10">
        <v>86</v>
      </c>
      <c r="O40" s="24">
        <f t="shared" si="0"/>
        <v>30</v>
      </c>
      <c r="P40" s="22">
        <f>(((alpha*(speed^3))+(beta*(speed^2))+(ceta*speed))+delta)</f>
        <v>6.0848669691639099</v>
      </c>
    </row>
    <row r="41" spans="1:16" x14ac:dyDescent="0.25">
      <c r="A41" s="9" t="s">
        <v>30</v>
      </c>
      <c r="B41" s="9" t="s">
        <v>31</v>
      </c>
      <c r="C41" s="9" t="s">
        <v>93</v>
      </c>
      <c r="D41" s="9" t="s">
        <v>66</v>
      </c>
      <c r="E41" s="9" t="s">
        <v>9</v>
      </c>
      <c r="F41" s="9">
        <v>102.30552452059905</v>
      </c>
      <c r="G41" s="9">
        <v>1.0123083619464264</v>
      </c>
      <c r="H41" s="9">
        <v>-1.7008734741270226</v>
      </c>
      <c r="I41" s="9">
        <v>0</v>
      </c>
      <c r="J41" s="9">
        <v>0</v>
      </c>
      <c r="K41" s="9">
        <v>0</v>
      </c>
      <c r="L41" s="9">
        <v>0</v>
      </c>
      <c r="M41" s="10">
        <v>11</v>
      </c>
      <c r="N41" s="10">
        <v>86</v>
      </c>
      <c r="O41" s="24">
        <f t="shared" ref="O41:O72" si="1">IF($O$2&lt;M41,M41,IF($O$2&gt;N41,N41,$O$2))</f>
        <v>30</v>
      </c>
      <c r="P41" s="22">
        <f>((alpha*(beta^speed))*(speed^ceta))</f>
        <v>0.45382399417920694</v>
      </c>
    </row>
    <row r="42" spans="1:16" x14ac:dyDescent="0.25">
      <c r="A42" s="9" t="s">
        <v>30</v>
      </c>
      <c r="B42" s="9" t="s">
        <v>29</v>
      </c>
      <c r="C42" s="9" t="s">
        <v>93</v>
      </c>
      <c r="D42" s="9" t="s">
        <v>60</v>
      </c>
      <c r="E42" s="9" t="s">
        <v>95</v>
      </c>
      <c r="F42" s="9">
        <v>4.3305065703131964</v>
      </c>
      <c r="G42" s="9">
        <v>0.79229069600677404</v>
      </c>
      <c r="H42" s="9">
        <v>-0.41053260239928263</v>
      </c>
      <c r="I42" s="9">
        <v>0</v>
      </c>
      <c r="J42" s="9">
        <v>0</v>
      </c>
      <c r="K42" s="9">
        <v>0</v>
      </c>
      <c r="L42" s="9">
        <v>0</v>
      </c>
      <c r="M42" s="10">
        <v>11</v>
      </c>
      <c r="N42" s="10">
        <v>86</v>
      </c>
      <c r="O42" s="24">
        <f t="shared" si="1"/>
        <v>30</v>
      </c>
      <c r="P42" s="22">
        <f>EXP((alpha+(beta/speed))+(ceta*LN(speed)))</f>
        <v>19.30982140982449</v>
      </c>
    </row>
    <row r="43" spans="1:16" x14ac:dyDescent="0.25">
      <c r="A43" s="9" t="s">
        <v>30</v>
      </c>
      <c r="B43" s="9" t="s">
        <v>29</v>
      </c>
      <c r="C43" s="9" t="s">
        <v>93</v>
      </c>
      <c r="D43" s="9" t="s">
        <v>61</v>
      </c>
      <c r="E43" s="9" t="s">
        <v>95</v>
      </c>
      <c r="F43" s="9">
        <v>3.9131144208996931</v>
      </c>
      <c r="G43" s="9">
        <v>1.0049437376797903</v>
      </c>
      <c r="H43" s="9">
        <v>-0.43371754847971683</v>
      </c>
      <c r="I43" s="9">
        <v>0</v>
      </c>
      <c r="J43" s="9">
        <v>0</v>
      </c>
      <c r="K43" s="9">
        <v>0</v>
      </c>
      <c r="L43" s="9">
        <v>0</v>
      </c>
      <c r="M43" s="10">
        <v>11</v>
      </c>
      <c r="N43" s="10">
        <v>86</v>
      </c>
      <c r="O43" s="24">
        <f t="shared" si="1"/>
        <v>30</v>
      </c>
      <c r="P43" s="22">
        <f>EXP((alpha+(beta/speed))+(ceta*LN(speed)))</f>
        <v>11.839643926388479</v>
      </c>
    </row>
    <row r="44" spans="1:16" x14ac:dyDescent="0.25">
      <c r="A44" s="9" t="s">
        <v>30</v>
      </c>
      <c r="B44" s="9" t="s">
        <v>29</v>
      </c>
      <c r="C44" s="9" t="s">
        <v>93</v>
      </c>
      <c r="D44" s="9" t="s">
        <v>62</v>
      </c>
      <c r="E44" s="9" t="s">
        <v>95</v>
      </c>
      <c r="F44" s="9">
        <v>3.9617793972731703</v>
      </c>
      <c r="G44" s="9">
        <v>1.6405897979493225</v>
      </c>
      <c r="H44" s="9">
        <v>-0.43894706243203829</v>
      </c>
      <c r="I44" s="9">
        <v>0</v>
      </c>
      <c r="J44" s="9">
        <v>0</v>
      </c>
      <c r="K44" s="9">
        <v>0</v>
      </c>
      <c r="L44" s="9">
        <v>0</v>
      </c>
      <c r="M44" s="10">
        <v>11</v>
      </c>
      <c r="N44" s="10">
        <v>86</v>
      </c>
      <c r="O44" s="24">
        <f t="shared" si="1"/>
        <v>30</v>
      </c>
      <c r="P44" s="22">
        <f>EXP((alpha+(beta/speed))+(ceta*LN(speed)))</f>
        <v>12.47242396395893</v>
      </c>
    </row>
    <row r="45" spans="1:16" x14ac:dyDescent="0.25">
      <c r="A45" s="9" t="s">
        <v>30</v>
      </c>
      <c r="B45" s="9" t="s">
        <v>29</v>
      </c>
      <c r="C45" s="9" t="s">
        <v>93</v>
      </c>
      <c r="D45" s="9" t="s">
        <v>63</v>
      </c>
      <c r="E45" s="9" t="s">
        <v>95</v>
      </c>
      <c r="F45" s="9">
        <v>4.0157972922541889</v>
      </c>
      <c r="G45" s="9">
        <v>3.7498909853565681</v>
      </c>
      <c r="H45" s="9">
        <v>-0.52441723782582295</v>
      </c>
      <c r="I45" s="9">
        <v>0</v>
      </c>
      <c r="J45" s="9">
        <v>0</v>
      </c>
      <c r="K45" s="9">
        <v>0</v>
      </c>
      <c r="L45" s="9">
        <v>0</v>
      </c>
      <c r="M45" s="10">
        <v>11</v>
      </c>
      <c r="N45" s="10">
        <v>86</v>
      </c>
      <c r="O45" s="24">
        <f t="shared" si="1"/>
        <v>30</v>
      </c>
      <c r="P45" s="22">
        <f>EXP((alpha+(beta/speed))+(ceta*LN(speed)))</f>
        <v>10.560779821040802</v>
      </c>
    </row>
    <row r="46" spans="1:16" x14ac:dyDescent="0.25">
      <c r="A46" s="9" t="s">
        <v>30</v>
      </c>
      <c r="B46" s="9" t="s">
        <v>29</v>
      </c>
      <c r="C46" s="9" t="s">
        <v>93</v>
      </c>
      <c r="D46" s="9" t="s">
        <v>90</v>
      </c>
      <c r="E46" s="9" t="s">
        <v>12</v>
      </c>
      <c r="F46" s="9">
        <v>-4.9904119486902145E-5</v>
      </c>
      <c r="G46" s="9">
        <v>8.4003813650787816E-3</v>
      </c>
      <c r="H46" s="9">
        <v>-0.50757040744850779</v>
      </c>
      <c r="I46" s="9">
        <v>16.120578661755967</v>
      </c>
      <c r="J46" s="9">
        <v>0</v>
      </c>
      <c r="K46" s="9">
        <v>0</v>
      </c>
      <c r="L46" s="9">
        <v>0</v>
      </c>
      <c r="M46" s="10">
        <v>11</v>
      </c>
      <c r="N46" s="10">
        <v>86</v>
      </c>
      <c r="O46" s="24">
        <f t="shared" si="1"/>
        <v>30</v>
      </c>
      <c r="P46" s="22">
        <f>(((alpha*(speed^3))+(beta*(speed^2))+(ceta*speed))+delta)</f>
        <v>7.1063984407252789</v>
      </c>
    </row>
    <row r="47" spans="1:16" x14ac:dyDescent="0.25">
      <c r="A47" s="9" t="s">
        <v>30</v>
      </c>
      <c r="B47" s="9" t="s">
        <v>29</v>
      </c>
      <c r="C47" s="9" t="s">
        <v>93</v>
      </c>
      <c r="D47" s="9" t="s">
        <v>64</v>
      </c>
      <c r="E47" s="9" t="s">
        <v>12</v>
      </c>
      <c r="F47" s="9">
        <v>-2.9935435467915929E-5</v>
      </c>
      <c r="G47" s="9">
        <v>5.038073163132214E-3</v>
      </c>
      <c r="H47" s="9">
        <v>-0.30428796575562483</v>
      </c>
      <c r="I47" s="9">
        <v>9.6366006508953443</v>
      </c>
      <c r="J47" s="9">
        <v>0</v>
      </c>
      <c r="K47" s="9">
        <v>0</v>
      </c>
      <c r="L47" s="9">
        <v>0</v>
      </c>
      <c r="M47" s="10">
        <v>11</v>
      </c>
      <c r="N47" s="10">
        <v>86</v>
      </c>
      <c r="O47" s="24">
        <f t="shared" si="1"/>
        <v>30</v>
      </c>
      <c r="P47" s="22">
        <f>(((alpha*(speed^3))+(beta*(speed^2))+(ceta*speed))+delta)</f>
        <v>4.2339707674118623</v>
      </c>
    </row>
    <row r="48" spans="1:16" x14ac:dyDescent="0.25">
      <c r="A48" s="9" t="s">
        <v>30</v>
      </c>
      <c r="B48" s="9" t="s">
        <v>29</v>
      </c>
      <c r="C48" s="9" t="s">
        <v>93</v>
      </c>
      <c r="D48" s="9" t="s">
        <v>65</v>
      </c>
      <c r="E48" s="9" t="s">
        <v>94</v>
      </c>
      <c r="F48" s="9">
        <v>1.6858130503814255</v>
      </c>
      <c r="G48" s="9">
        <v>108.67264009141734</v>
      </c>
      <c r="H48" s="9">
        <v>-0.89356788592501657</v>
      </c>
      <c r="I48" s="9">
        <v>9.6209625480208144E-2</v>
      </c>
      <c r="J48" s="9">
        <v>6.956011106949242E-2</v>
      </c>
      <c r="K48" s="9">
        <v>0</v>
      </c>
      <c r="L48" s="9">
        <v>0</v>
      </c>
      <c r="M48" s="10">
        <v>11</v>
      </c>
      <c r="N48" s="10">
        <v>86</v>
      </c>
      <c r="O48" s="24">
        <f t="shared" si="1"/>
        <v>30</v>
      </c>
      <c r="P48" s="22">
        <f>(alpha+(beta/(1+EXP((((-1)*ceta)+(delta*LN(speed)))+(epsilon*speed)))))</f>
        <v>5.5231974193538385</v>
      </c>
    </row>
    <row r="49" spans="1:16" x14ac:dyDescent="0.25">
      <c r="A49" s="9" t="s">
        <v>30</v>
      </c>
      <c r="B49" s="9" t="s">
        <v>29</v>
      </c>
      <c r="C49" s="9" t="s">
        <v>93</v>
      </c>
      <c r="D49" s="9" t="s">
        <v>66</v>
      </c>
      <c r="E49" s="9" t="s">
        <v>27</v>
      </c>
      <c r="F49" s="9">
        <v>-1.5545676028645141</v>
      </c>
      <c r="G49" s="9">
        <v>0.17595063237988889</v>
      </c>
      <c r="H49" s="9">
        <v>1.5613922635201165</v>
      </c>
      <c r="I49" s="9">
        <v>0</v>
      </c>
      <c r="J49" s="9">
        <v>0</v>
      </c>
      <c r="K49" s="9">
        <v>0</v>
      </c>
      <c r="L49" s="9">
        <v>0</v>
      </c>
      <c r="M49" s="10">
        <v>11</v>
      </c>
      <c r="N49" s="10">
        <v>86</v>
      </c>
      <c r="O49" s="24">
        <f t="shared" si="1"/>
        <v>30</v>
      </c>
      <c r="P49" s="22">
        <f>((alpha+(beta*speed))^((-1)/ceta))</f>
        <v>0.43082229972374309</v>
      </c>
    </row>
    <row r="50" spans="1:16" x14ac:dyDescent="0.25">
      <c r="A50" s="9" t="s">
        <v>11</v>
      </c>
      <c r="B50" s="9" t="s">
        <v>28</v>
      </c>
      <c r="C50" s="9" t="s">
        <v>93</v>
      </c>
      <c r="D50" s="9" t="s">
        <v>60</v>
      </c>
      <c r="E50" s="9" t="s">
        <v>9</v>
      </c>
      <c r="F50" s="9">
        <v>35.500155033319416</v>
      </c>
      <c r="G50" s="9">
        <v>1.0152149077150368</v>
      </c>
      <c r="H50" s="9">
        <v>-0.74826252917287051</v>
      </c>
      <c r="I50" s="9">
        <v>0</v>
      </c>
      <c r="J50" s="9">
        <v>0</v>
      </c>
      <c r="K50" s="9">
        <v>0</v>
      </c>
      <c r="L50" s="9">
        <v>0</v>
      </c>
      <c r="M50" s="10">
        <v>12</v>
      </c>
      <c r="N50" s="10">
        <v>86</v>
      </c>
      <c r="O50" s="24">
        <f t="shared" si="1"/>
        <v>30</v>
      </c>
      <c r="P50" s="22">
        <f t="shared" ref="P50:P55" si="2">((alpha*(beta^speed))*(speed^ceta))</f>
        <v>4.3822319105013907</v>
      </c>
    </row>
    <row r="51" spans="1:16" x14ac:dyDescent="0.25">
      <c r="A51" s="9" t="s">
        <v>11</v>
      </c>
      <c r="B51" s="9" t="s">
        <v>28</v>
      </c>
      <c r="C51" s="9" t="s">
        <v>93</v>
      </c>
      <c r="D51" s="9" t="s">
        <v>61</v>
      </c>
      <c r="E51" s="9" t="s">
        <v>9</v>
      </c>
      <c r="F51" s="9">
        <v>31.406799412020892</v>
      </c>
      <c r="G51" s="9">
        <v>1.0183831432318236</v>
      </c>
      <c r="H51" s="9">
        <v>-0.84564833173033804</v>
      </c>
      <c r="I51" s="9">
        <v>0</v>
      </c>
      <c r="J51" s="9">
        <v>0</v>
      </c>
      <c r="K51" s="9">
        <v>0</v>
      </c>
      <c r="L51" s="9">
        <v>0</v>
      </c>
      <c r="M51" s="10">
        <v>12</v>
      </c>
      <c r="N51" s="10">
        <v>86</v>
      </c>
      <c r="O51" s="24">
        <f t="shared" si="1"/>
        <v>30</v>
      </c>
      <c r="P51" s="22">
        <f t="shared" si="2"/>
        <v>3.0565719098287314</v>
      </c>
    </row>
    <row r="52" spans="1:16" x14ac:dyDescent="0.25">
      <c r="A52" s="9" t="s">
        <v>11</v>
      </c>
      <c r="B52" s="9" t="s">
        <v>28</v>
      </c>
      <c r="C52" s="9" t="s">
        <v>93</v>
      </c>
      <c r="D52" s="9" t="s">
        <v>62</v>
      </c>
      <c r="E52" s="9" t="s">
        <v>9</v>
      </c>
      <c r="F52" s="9">
        <v>33.086043963836133</v>
      </c>
      <c r="G52" s="9">
        <v>1.016385609611697</v>
      </c>
      <c r="H52" s="9">
        <v>-0.81505314004100105</v>
      </c>
      <c r="I52" s="9">
        <v>0</v>
      </c>
      <c r="J52" s="9">
        <v>0</v>
      </c>
      <c r="K52" s="9">
        <v>0</v>
      </c>
      <c r="L52" s="9">
        <v>0</v>
      </c>
      <c r="M52" s="10">
        <v>12</v>
      </c>
      <c r="N52" s="10">
        <v>86</v>
      </c>
      <c r="O52" s="24">
        <f t="shared" si="1"/>
        <v>30</v>
      </c>
      <c r="P52" s="22">
        <f t="shared" si="2"/>
        <v>3.3687419977191388</v>
      </c>
    </row>
    <row r="53" spans="1:16" x14ac:dyDescent="0.25">
      <c r="A53" s="9" t="s">
        <v>11</v>
      </c>
      <c r="B53" s="9" t="s">
        <v>28</v>
      </c>
      <c r="C53" s="9" t="s">
        <v>93</v>
      </c>
      <c r="D53" s="9" t="s">
        <v>63</v>
      </c>
      <c r="E53" s="9" t="s">
        <v>9</v>
      </c>
      <c r="F53" s="9">
        <v>51.300873769005896</v>
      </c>
      <c r="G53" s="9">
        <v>1.0192312830770824</v>
      </c>
      <c r="H53" s="9">
        <v>-1.037484214457854</v>
      </c>
      <c r="I53" s="9">
        <v>0</v>
      </c>
      <c r="J53" s="9">
        <v>0</v>
      </c>
      <c r="K53" s="9">
        <v>0</v>
      </c>
      <c r="L53" s="9">
        <v>0</v>
      </c>
      <c r="M53" s="10">
        <v>12</v>
      </c>
      <c r="N53" s="10">
        <v>86</v>
      </c>
      <c r="O53" s="24">
        <f t="shared" si="1"/>
        <v>30</v>
      </c>
      <c r="P53" s="22">
        <f t="shared" si="2"/>
        <v>2.6657359263963318</v>
      </c>
    </row>
    <row r="54" spans="1:16" x14ac:dyDescent="0.25">
      <c r="A54" s="9" t="s">
        <v>11</v>
      </c>
      <c r="B54" s="9" t="s">
        <v>28</v>
      </c>
      <c r="C54" s="9" t="s">
        <v>93</v>
      </c>
      <c r="D54" s="9" t="s">
        <v>90</v>
      </c>
      <c r="E54" s="9" t="s">
        <v>9</v>
      </c>
      <c r="F54" s="9">
        <v>18.785723020682191</v>
      </c>
      <c r="G54" s="9">
        <v>1.0167064713769294</v>
      </c>
      <c r="H54" s="9">
        <v>-0.83760223367641085</v>
      </c>
      <c r="I54" s="9">
        <v>0</v>
      </c>
      <c r="J54" s="9">
        <v>0</v>
      </c>
      <c r="K54" s="9">
        <v>0</v>
      </c>
      <c r="L54" s="9">
        <v>0</v>
      </c>
      <c r="M54" s="10">
        <v>12</v>
      </c>
      <c r="N54" s="10">
        <v>86</v>
      </c>
      <c r="O54" s="24">
        <f t="shared" si="1"/>
        <v>30</v>
      </c>
      <c r="P54" s="22">
        <f t="shared" si="2"/>
        <v>1.7883622273768101</v>
      </c>
    </row>
    <row r="55" spans="1:16" x14ac:dyDescent="0.25">
      <c r="A55" s="9" t="s">
        <v>11</v>
      </c>
      <c r="B55" s="9" t="s">
        <v>28</v>
      </c>
      <c r="C55" s="9" t="s">
        <v>93</v>
      </c>
      <c r="D55" s="9" t="s">
        <v>64</v>
      </c>
      <c r="E55" s="9" t="s">
        <v>9</v>
      </c>
      <c r="F55" s="9">
        <v>11.354179408644857</v>
      </c>
      <c r="G55" s="9">
        <v>1.0166938579743898</v>
      </c>
      <c r="H55" s="9">
        <v>-0.84305457132890804</v>
      </c>
      <c r="I55" s="9">
        <v>0</v>
      </c>
      <c r="J55" s="9">
        <v>0</v>
      </c>
      <c r="K55" s="9">
        <v>0</v>
      </c>
      <c r="L55" s="9">
        <v>0</v>
      </c>
      <c r="M55" s="10">
        <v>12</v>
      </c>
      <c r="N55" s="10">
        <v>86</v>
      </c>
      <c r="O55" s="24">
        <f t="shared" si="1"/>
        <v>30</v>
      </c>
      <c r="P55" s="22">
        <f t="shared" si="2"/>
        <v>1.0606398092279026</v>
      </c>
    </row>
    <row r="56" spans="1:16" x14ac:dyDescent="0.25">
      <c r="A56" s="9" t="s">
        <v>11</v>
      </c>
      <c r="B56" s="9" t="s">
        <v>28</v>
      </c>
      <c r="C56" s="9" t="s">
        <v>93</v>
      </c>
      <c r="D56" s="9" t="s">
        <v>65</v>
      </c>
      <c r="E56" s="9" t="s">
        <v>94</v>
      </c>
      <c r="F56" s="9">
        <v>7.2804672470751536E-2</v>
      </c>
      <c r="G56" s="9">
        <v>16.028345788740513</v>
      </c>
      <c r="H56" s="9">
        <v>0.36579972269926303</v>
      </c>
      <c r="I56" s="9">
        <v>0.32620475258770387</v>
      </c>
      <c r="J56" s="9">
        <v>3.4248661923387151E-2</v>
      </c>
      <c r="K56" s="9">
        <v>0</v>
      </c>
      <c r="L56" s="9">
        <v>0</v>
      </c>
      <c r="M56" s="10">
        <v>12</v>
      </c>
      <c r="N56" s="10">
        <v>86</v>
      </c>
      <c r="O56" s="24">
        <f t="shared" si="1"/>
        <v>30</v>
      </c>
      <c r="P56" s="22">
        <f>(alpha+(beta/(1+EXP((((-1)*ceta)+(delta*LN(speed)))+(epsilon*speed)))))</f>
        <v>2.4033223116649167</v>
      </c>
    </row>
    <row r="57" spans="1:16" x14ac:dyDescent="0.25">
      <c r="A57" s="9" t="s">
        <v>11</v>
      </c>
      <c r="B57" s="9" t="s">
        <v>28</v>
      </c>
      <c r="C57" s="9" t="s">
        <v>93</v>
      </c>
      <c r="D57" s="9" t="s">
        <v>66</v>
      </c>
      <c r="E57" s="9" t="s">
        <v>27</v>
      </c>
      <c r="F57" s="9">
        <v>0.40596960504720808</v>
      </c>
      <c r="G57" s="9">
        <v>4.9708003458137209E-2</v>
      </c>
      <c r="H57" s="9">
        <v>0.52395536606221416</v>
      </c>
      <c r="I57" s="9">
        <v>0</v>
      </c>
      <c r="J57" s="9">
        <v>0</v>
      </c>
      <c r="K57" s="9">
        <v>0</v>
      </c>
      <c r="L57" s="9">
        <v>0</v>
      </c>
      <c r="M57" s="10">
        <v>12</v>
      </c>
      <c r="N57" s="10">
        <v>86</v>
      </c>
      <c r="O57" s="24">
        <f t="shared" si="1"/>
        <v>30</v>
      </c>
      <c r="P57" s="22">
        <f>((alpha+(beta*speed))^((-1)/ceta))</f>
        <v>0.2945780101267485</v>
      </c>
    </row>
    <row r="58" spans="1:16" x14ac:dyDescent="0.25">
      <c r="A58" s="9" t="s">
        <v>11</v>
      </c>
      <c r="B58" s="9" t="s">
        <v>26</v>
      </c>
      <c r="C58" s="9" t="s">
        <v>93</v>
      </c>
      <c r="D58" s="9" t="s">
        <v>60</v>
      </c>
      <c r="E58" s="9" t="s">
        <v>9</v>
      </c>
      <c r="F58" s="9">
        <v>75.083228828972182</v>
      </c>
      <c r="G58" s="9">
        <v>1.0127515347384077</v>
      </c>
      <c r="H58" s="9">
        <v>-0.75707512780873554</v>
      </c>
      <c r="I58" s="9">
        <v>0</v>
      </c>
      <c r="J58" s="9">
        <v>0</v>
      </c>
      <c r="K58" s="9">
        <v>0</v>
      </c>
      <c r="L58" s="9">
        <v>0</v>
      </c>
      <c r="M58" s="10">
        <v>12</v>
      </c>
      <c r="N58" s="10">
        <v>86</v>
      </c>
      <c r="O58" s="24">
        <f t="shared" si="1"/>
        <v>30</v>
      </c>
      <c r="P58" s="22">
        <f>((alpha*(beta^speed))*(speed^ceta))</f>
        <v>8.3625451876112731</v>
      </c>
    </row>
    <row r="59" spans="1:16" x14ac:dyDescent="0.25">
      <c r="A59" s="9" t="s">
        <v>11</v>
      </c>
      <c r="B59" s="9" t="s">
        <v>26</v>
      </c>
      <c r="C59" s="9" t="s">
        <v>93</v>
      </c>
      <c r="D59" s="9" t="s">
        <v>61</v>
      </c>
      <c r="E59" s="9" t="s">
        <v>9</v>
      </c>
      <c r="F59" s="9">
        <v>47.031356294140643</v>
      </c>
      <c r="G59" s="9">
        <v>1.0130076282616429</v>
      </c>
      <c r="H59" s="9">
        <v>-0.7733058929542439</v>
      </c>
      <c r="I59" s="9">
        <v>0</v>
      </c>
      <c r="J59" s="9">
        <v>0</v>
      </c>
      <c r="K59" s="9">
        <v>0</v>
      </c>
      <c r="L59" s="9">
        <v>0</v>
      </c>
      <c r="M59" s="10">
        <v>12</v>
      </c>
      <c r="N59" s="10">
        <v>86</v>
      </c>
      <c r="O59" s="24">
        <f t="shared" si="1"/>
        <v>30</v>
      </c>
      <c r="P59" s="22">
        <f>((alpha*(beta^speed))*(speed^ceta))</f>
        <v>4.9946194562709705</v>
      </c>
    </row>
    <row r="60" spans="1:16" x14ac:dyDescent="0.25">
      <c r="A60" s="9" t="s">
        <v>11</v>
      </c>
      <c r="B60" s="9" t="s">
        <v>26</v>
      </c>
      <c r="C60" s="9" t="s">
        <v>93</v>
      </c>
      <c r="D60" s="9" t="s">
        <v>62</v>
      </c>
      <c r="E60" s="9" t="s">
        <v>9</v>
      </c>
      <c r="F60" s="9">
        <v>52.668296839514646</v>
      </c>
      <c r="G60" s="9">
        <v>1.0121415462597743</v>
      </c>
      <c r="H60" s="9">
        <v>-0.77267123080735556</v>
      </c>
      <c r="I60" s="9">
        <v>0</v>
      </c>
      <c r="J60" s="9">
        <v>0</v>
      </c>
      <c r="K60" s="9">
        <v>0</v>
      </c>
      <c r="L60" s="9">
        <v>0</v>
      </c>
      <c r="M60" s="10">
        <v>12</v>
      </c>
      <c r="N60" s="10">
        <v>86</v>
      </c>
      <c r="O60" s="24">
        <f t="shared" si="1"/>
        <v>30</v>
      </c>
      <c r="P60" s="22">
        <f>((alpha*(beta^speed))*(speed^ceta))</f>
        <v>5.4633338427494484</v>
      </c>
    </row>
    <row r="61" spans="1:16" x14ac:dyDescent="0.25">
      <c r="A61" s="9" t="s">
        <v>11</v>
      </c>
      <c r="B61" s="9" t="s">
        <v>26</v>
      </c>
      <c r="C61" s="9" t="s">
        <v>93</v>
      </c>
      <c r="D61" s="9" t="s">
        <v>63</v>
      </c>
      <c r="E61" s="9" t="s">
        <v>94</v>
      </c>
      <c r="F61" s="9">
        <v>3.4712907113505489</v>
      </c>
      <c r="G61" s="9">
        <v>13.633975190158846</v>
      </c>
      <c r="H61" s="9">
        <v>2.3604543157074351</v>
      </c>
      <c r="I61" s="9">
        <v>0.92796622762552738</v>
      </c>
      <c r="J61" s="9">
        <v>6.5047824269790042E-2</v>
      </c>
      <c r="K61" s="9">
        <v>0</v>
      </c>
      <c r="L61" s="9">
        <v>0</v>
      </c>
      <c r="M61" s="10">
        <v>12</v>
      </c>
      <c r="N61" s="10">
        <v>86</v>
      </c>
      <c r="O61" s="24">
        <f t="shared" si="1"/>
        <v>30</v>
      </c>
      <c r="P61" s="22">
        <f>(alpha+(beta/(1+EXP((((-1)*ceta)+(delta*LN(speed)))+(epsilon*speed)))))</f>
        <v>4.2926872275453185</v>
      </c>
    </row>
    <row r="62" spans="1:16" x14ac:dyDescent="0.25">
      <c r="A62" s="9" t="s">
        <v>11</v>
      </c>
      <c r="B62" s="9" t="s">
        <v>26</v>
      </c>
      <c r="C62" s="9" t="s">
        <v>93</v>
      </c>
      <c r="D62" s="9" t="s">
        <v>90</v>
      </c>
      <c r="E62" s="9" t="s">
        <v>94</v>
      </c>
      <c r="F62" s="9">
        <v>2.4814024118182165</v>
      </c>
      <c r="G62" s="9">
        <v>5.1568208858628228</v>
      </c>
      <c r="H62" s="9">
        <v>3.82182733045709</v>
      </c>
      <c r="I62" s="9">
        <v>1.366017061989703</v>
      </c>
      <c r="J62" s="9">
        <v>5.5944880820400451E-2</v>
      </c>
      <c r="K62" s="9">
        <v>0</v>
      </c>
      <c r="L62" s="9">
        <v>0</v>
      </c>
      <c r="M62" s="10">
        <v>12</v>
      </c>
      <c r="N62" s="10">
        <v>86</v>
      </c>
      <c r="O62" s="24">
        <f t="shared" si="1"/>
        <v>30</v>
      </c>
      <c r="P62" s="22">
        <f>(alpha+(beta/(1+EXP((((-1)*ceta)+(delta*LN(speed)))+(epsilon*speed)))))</f>
        <v>2.8716459641930947</v>
      </c>
    </row>
    <row r="63" spans="1:16" x14ac:dyDescent="0.25">
      <c r="A63" s="9" t="s">
        <v>11</v>
      </c>
      <c r="B63" s="9" t="s">
        <v>26</v>
      </c>
      <c r="C63" s="9" t="s">
        <v>93</v>
      </c>
      <c r="D63" s="9" t="s">
        <v>64</v>
      </c>
      <c r="E63" s="9" t="s">
        <v>13</v>
      </c>
      <c r="F63" s="9">
        <v>24.345588169513885</v>
      </c>
      <c r="G63" s="9">
        <v>-0.94908276294085114</v>
      </c>
      <c r="H63" s="9">
        <v>0.2336232120660551</v>
      </c>
      <c r="I63" s="9">
        <v>0.35093026236978492</v>
      </c>
      <c r="J63" s="9">
        <v>0</v>
      </c>
      <c r="K63" s="9">
        <v>0</v>
      </c>
      <c r="L63" s="9">
        <v>0</v>
      </c>
      <c r="M63" s="10">
        <v>12</v>
      </c>
      <c r="N63" s="10">
        <v>86</v>
      </c>
      <c r="O63" s="24">
        <f t="shared" si="1"/>
        <v>30</v>
      </c>
      <c r="P63" s="22">
        <f>((alpha*(speed^beta))+(ceta*(speed^delta)))</f>
        <v>1.7356564163495181</v>
      </c>
    </row>
    <row r="64" spans="1:16" x14ac:dyDescent="0.25">
      <c r="A64" s="9" t="s">
        <v>11</v>
      </c>
      <c r="B64" s="9" t="s">
        <v>26</v>
      </c>
      <c r="C64" s="9" t="s">
        <v>93</v>
      </c>
      <c r="D64" s="9" t="s">
        <v>65</v>
      </c>
      <c r="E64" s="9" t="s">
        <v>94</v>
      </c>
      <c r="F64" s="9">
        <v>-0.20720351346338514</v>
      </c>
      <c r="G64" s="9">
        <v>52.311874799799455</v>
      </c>
      <c r="H64" s="9">
        <v>-0.46714416488742977</v>
      </c>
      <c r="I64" s="9">
        <v>0.3453669598589495</v>
      </c>
      <c r="J64" s="9">
        <v>2.6262364456761778E-2</v>
      </c>
      <c r="K64" s="9">
        <v>0</v>
      </c>
      <c r="L64" s="9">
        <v>0</v>
      </c>
      <c r="M64" s="10">
        <v>12</v>
      </c>
      <c r="N64" s="10">
        <v>86</v>
      </c>
      <c r="O64" s="24">
        <f t="shared" si="1"/>
        <v>30</v>
      </c>
      <c r="P64" s="22">
        <f>(alpha+(beta/(1+EXP((((-1)*ceta)+(delta*LN(speed)))+(epsilon*speed)))))</f>
        <v>4.026791104962764</v>
      </c>
    </row>
    <row r="65" spans="1:16" x14ac:dyDescent="0.25">
      <c r="A65" s="9" t="s">
        <v>11</v>
      </c>
      <c r="B65" s="9" t="s">
        <v>26</v>
      </c>
      <c r="C65" s="9" t="s">
        <v>93</v>
      </c>
      <c r="D65" s="9" t="s">
        <v>66</v>
      </c>
      <c r="E65" s="9" t="s">
        <v>94</v>
      </c>
      <c r="F65" s="9">
        <v>4.6495289169651857E-2</v>
      </c>
      <c r="G65" s="9">
        <v>24.236643183721981</v>
      </c>
      <c r="H65" s="9">
        <v>7.6724515988089576E-2</v>
      </c>
      <c r="I65" s="9">
        <v>0.97199224289608543</v>
      </c>
      <c r="J65" s="9">
        <v>2.5179445464271727E-2</v>
      </c>
      <c r="K65" s="9">
        <v>0</v>
      </c>
      <c r="L65" s="9">
        <v>0</v>
      </c>
      <c r="M65" s="10">
        <v>12</v>
      </c>
      <c r="N65" s="10">
        <v>86</v>
      </c>
      <c r="O65" s="24">
        <f t="shared" si="1"/>
        <v>30</v>
      </c>
      <c r="P65" s="22">
        <f>(alpha+(beta/(1+EXP((((-1)*ceta)+(delta*LN(speed)))+(epsilon*speed)))))</f>
        <v>0.48906391586303466</v>
      </c>
    </row>
    <row r="66" spans="1:16" x14ac:dyDescent="0.25">
      <c r="A66" s="9" t="s">
        <v>11</v>
      </c>
      <c r="B66" s="9" t="s">
        <v>25</v>
      </c>
      <c r="C66" s="9" t="s">
        <v>93</v>
      </c>
      <c r="D66" s="9" t="s">
        <v>60</v>
      </c>
      <c r="E66" s="9" t="s">
        <v>13</v>
      </c>
      <c r="F66" s="9">
        <v>71.825961616835357</v>
      </c>
      <c r="G66" s="9">
        <v>-0.63190800166432248</v>
      </c>
      <c r="H66" s="9">
        <v>1.8994736037380985E-2</v>
      </c>
      <c r="I66" s="9">
        <v>1.1730106152482742</v>
      </c>
      <c r="J66" s="9">
        <v>0</v>
      </c>
      <c r="K66" s="9">
        <v>0</v>
      </c>
      <c r="L66" s="9">
        <v>0</v>
      </c>
      <c r="M66" s="10">
        <v>12</v>
      </c>
      <c r="N66" s="10">
        <v>86</v>
      </c>
      <c r="O66" s="24">
        <f t="shared" si="1"/>
        <v>30</v>
      </c>
      <c r="P66" s="22">
        <f>((alpha*(speed^beta))+(ceta*(speed^delta)))</f>
        <v>9.3993049483815749</v>
      </c>
    </row>
    <row r="67" spans="1:16" x14ac:dyDescent="0.25">
      <c r="A67" s="9" t="s">
        <v>11</v>
      </c>
      <c r="B67" s="9" t="s">
        <v>25</v>
      </c>
      <c r="C67" s="9" t="s">
        <v>93</v>
      </c>
      <c r="D67" s="9" t="s">
        <v>61</v>
      </c>
      <c r="E67" s="9" t="s">
        <v>9</v>
      </c>
      <c r="F67" s="9">
        <v>55.290661451250166</v>
      </c>
      <c r="G67" s="9">
        <v>1.0111037456828067</v>
      </c>
      <c r="H67" s="9">
        <v>-0.76714167079974804</v>
      </c>
      <c r="I67" s="9">
        <v>0</v>
      </c>
      <c r="J67" s="9">
        <v>0</v>
      </c>
      <c r="K67" s="9">
        <v>0</v>
      </c>
      <c r="L67" s="9">
        <v>0</v>
      </c>
      <c r="M67" s="10">
        <v>12</v>
      </c>
      <c r="N67" s="10">
        <v>86</v>
      </c>
      <c r="O67" s="24">
        <f t="shared" si="1"/>
        <v>30</v>
      </c>
      <c r="P67" s="22">
        <f>((alpha*(beta^speed))*(speed^ceta))</f>
        <v>5.6671159164148621</v>
      </c>
    </row>
    <row r="68" spans="1:16" x14ac:dyDescent="0.25">
      <c r="A68" s="9" t="s">
        <v>11</v>
      </c>
      <c r="B68" s="9" t="s">
        <v>25</v>
      </c>
      <c r="C68" s="9" t="s">
        <v>93</v>
      </c>
      <c r="D68" s="9" t="s">
        <v>62</v>
      </c>
      <c r="E68" s="9" t="s">
        <v>9</v>
      </c>
      <c r="F68" s="9">
        <v>59.120341778382652</v>
      </c>
      <c r="G68" s="9">
        <v>1.0099722078277253</v>
      </c>
      <c r="H68" s="9">
        <v>-0.74996365272142318</v>
      </c>
      <c r="I68" s="9">
        <v>0</v>
      </c>
      <c r="J68" s="9">
        <v>0</v>
      </c>
      <c r="K68" s="9">
        <v>0</v>
      </c>
      <c r="L68" s="9">
        <v>0</v>
      </c>
      <c r="M68" s="10">
        <v>12</v>
      </c>
      <c r="N68" s="10">
        <v>86</v>
      </c>
      <c r="O68" s="24">
        <f t="shared" si="1"/>
        <v>30</v>
      </c>
      <c r="P68" s="22">
        <f>((alpha*(beta^speed))*(speed^ceta))</f>
        <v>6.2120133224196605</v>
      </c>
    </row>
    <row r="69" spans="1:16" x14ac:dyDescent="0.25">
      <c r="A69" s="9" t="s">
        <v>11</v>
      </c>
      <c r="B69" s="9" t="s">
        <v>25</v>
      </c>
      <c r="C69" s="9" t="s">
        <v>93</v>
      </c>
      <c r="D69" s="9" t="s">
        <v>63</v>
      </c>
      <c r="E69" s="9" t="s">
        <v>9</v>
      </c>
      <c r="F69" s="9">
        <v>57.421508736319254</v>
      </c>
      <c r="G69" s="9">
        <v>1.0090284391928894</v>
      </c>
      <c r="H69" s="9">
        <v>-0.78974392797803694</v>
      </c>
      <c r="I69" s="9">
        <v>0</v>
      </c>
      <c r="J69" s="9">
        <v>0</v>
      </c>
      <c r="K69" s="9">
        <v>0</v>
      </c>
      <c r="L69" s="9">
        <v>0</v>
      </c>
      <c r="M69" s="10">
        <v>12</v>
      </c>
      <c r="N69" s="10">
        <v>86</v>
      </c>
      <c r="O69" s="24">
        <f t="shared" si="1"/>
        <v>30</v>
      </c>
      <c r="P69" s="22">
        <f>((alpha*(beta^speed))*(speed^ceta))</f>
        <v>5.1242376600329731</v>
      </c>
    </row>
    <row r="70" spans="1:16" x14ac:dyDescent="0.25">
      <c r="A70" s="9" t="s">
        <v>11</v>
      </c>
      <c r="B70" s="9" t="s">
        <v>25</v>
      </c>
      <c r="C70" s="9" t="s">
        <v>93</v>
      </c>
      <c r="D70" s="9" t="s">
        <v>90</v>
      </c>
      <c r="E70" s="9" t="s">
        <v>94</v>
      </c>
      <c r="F70" s="9">
        <v>2.4594339336639357</v>
      </c>
      <c r="G70" s="9">
        <v>21.125764573426249</v>
      </c>
      <c r="H70" s="9">
        <v>1.0582842605134251</v>
      </c>
      <c r="I70" s="9">
        <v>1.0795504816103612</v>
      </c>
      <c r="J70" s="9">
        <v>1.4958504430442806E-2</v>
      </c>
      <c r="K70" s="9">
        <v>0</v>
      </c>
      <c r="L70" s="9">
        <v>0</v>
      </c>
      <c r="M70" s="10">
        <v>12</v>
      </c>
      <c r="N70" s="10">
        <v>86</v>
      </c>
      <c r="O70" s="24">
        <f t="shared" si="1"/>
        <v>30</v>
      </c>
      <c r="P70" s="22">
        <f>(alpha+(beta/(1+EXP((((-1)*ceta)+(delta*LN(speed)))+(epsilon*speed)))))</f>
        <v>3.40359034084987</v>
      </c>
    </row>
    <row r="71" spans="1:16" x14ac:dyDescent="0.25">
      <c r="A71" s="9" t="s">
        <v>11</v>
      </c>
      <c r="B71" s="9" t="s">
        <v>25</v>
      </c>
      <c r="C71" s="9" t="s">
        <v>93</v>
      </c>
      <c r="D71" s="9" t="s">
        <v>64</v>
      </c>
      <c r="E71" s="9" t="s">
        <v>94</v>
      </c>
      <c r="F71" s="9">
        <v>1.4438968623651385</v>
      </c>
      <c r="G71" s="9">
        <v>13.647372328736184</v>
      </c>
      <c r="H71" s="9">
        <v>0.99050309899311773</v>
      </c>
      <c r="I71" s="9">
        <v>1.0901861805166002</v>
      </c>
      <c r="J71" s="9">
        <v>1.3090114009940375E-2</v>
      </c>
      <c r="K71" s="9">
        <v>0</v>
      </c>
      <c r="L71" s="9">
        <v>0</v>
      </c>
      <c r="M71" s="10">
        <v>12</v>
      </c>
      <c r="N71" s="10">
        <v>86</v>
      </c>
      <c r="O71" s="24">
        <f t="shared" si="1"/>
        <v>30</v>
      </c>
      <c r="P71" s="22">
        <f>(alpha+(beta/(1+EXP((((-1)*ceta)+(delta*LN(speed)))+(epsilon*speed)))))</f>
        <v>2.0265164965468343</v>
      </c>
    </row>
    <row r="72" spans="1:16" x14ac:dyDescent="0.25">
      <c r="A72" s="9" t="s">
        <v>11</v>
      </c>
      <c r="B72" s="9" t="s">
        <v>25</v>
      </c>
      <c r="C72" s="9" t="s">
        <v>93</v>
      </c>
      <c r="D72" s="9" t="s">
        <v>65</v>
      </c>
      <c r="E72" s="9" t="s">
        <v>94</v>
      </c>
      <c r="F72" s="9">
        <v>-0.25776643701636481</v>
      </c>
      <c r="G72" s="9">
        <v>89.25359203640167</v>
      </c>
      <c r="H72" s="9">
        <v>-0.77664212055085047</v>
      </c>
      <c r="I72" s="9">
        <v>0.41725214510472813</v>
      </c>
      <c r="J72" s="9">
        <v>2.3003698036695032E-2</v>
      </c>
      <c r="K72" s="9">
        <v>0</v>
      </c>
      <c r="L72" s="9">
        <v>0</v>
      </c>
      <c r="M72" s="10">
        <v>12</v>
      </c>
      <c r="N72" s="10">
        <v>86</v>
      </c>
      <c r="O72" s="24">
        <f t="shared" si="1"/>
        <v>30</v>
      </c>
      <c r="P72" s="22">
        <f>(alpha+(beta/(1+EXP((((-1)*ceta)+(delta*LN(speed)))+(epsilon*speed)))))</f>
        <v>4.4596871146001016</v>
      </c>
    </row>
    <row r="73" spans="1:16" x14ac:dyDescent="0.25">
      <c r="A73" s="9" t="s">
        <v>11</v>
      </c>
      <c r="B73" s="9" t="s">
        <v>25</v>
      </c>
      <c r="C73" s="9" t="s">
        <v>93</v>
      </c>
      <c r="D73" s="9" t="s">
        <v>66</v>
      </c>
      <c r="E73" s="9" t="s">
        <v>24</v>
      </c>
      <c r="F73" s="9">
        <v>9.1254813596081064E-2</v>
      </c>
      <c r="G73" s="9">
        <v>2.0868051804805748E-2</v>
      </c>
      <c r="H73" s="9">
        <v>1.3609101823550171E-3</v>
      </c>
      <c r="I73" s="9">
        <v>0</v>
      </c>
      <c r="J73" s="9">
        <v>0</v>
      </c>
      <c r="K73" s="9">
        <v>0</v>
      </c>
      <c r="L73" s="9">
        <v>0</v>
      </c>
      <c r="M73" s="10">
        <v>12</v>
      </c>
      <c r="N73" s="10">
        <v>86</v>
      </c>
      <c r="O73" s="24">
        <f t="shared" ref="O73:O104" si="3">IF($O$2&lt;M73,M73,IF($O$2&gt;N73,N73,$O$2))</f>
        <v>30</v>
      </c>
      <c r="P73" s="22">
        <f>(1/(((ceta*(speed^2))+(beta*speed))+alpha))</f>
        <v>0.51490242655255447</v>
      </c>
    </row>
    <row r="74" spans="1:16" x14ac:dyDescent="0.25">
      <c r="A74" s="9" t="s">
        <v>11</v>
      </c>
      <c r="B74" s="9" t="s">
        <v>23</v>
      </c>
      <c r="C74" s="9" t="s">
        <v>93</v>
      </c>
      <c r="D74" s="9" t="s">
        <v>60</v>
      </c>
      <c r="E74" s="9" t="s">
        <v>9</v>
      </c>
      <c r="F74" s="9">
        <v>113.66396976963401</v>
      </c>
      <c r="G74" s="9">
        <v>1.008824760911792</v>
      </c>
      <c r="H74" s="9">
        <v>-0.73610314236303431</v>
      </c>
      <c r="I74" s="9">
        <v>0</v>
      </c>
      <c r="J74" s="9">
        <v>0</v>
      </c>
      <c r="K74" s="9">
        <v>0</v>
      </c>
      <c r="L74" s="9">
        <v>0</v>
      </c>
      <c r="M74" s="10">
        <v>12</v>
      </c>
      <c r="N74" s="10">
        <v>86</v>
      </c>
      <c r="O74" s="24">
        <f t="shared" si="3"/>
        <v>30</v>
      </c>
      <c r="P74" s="22">
        <f>((alpha*(beta^speed))*(speed^ceta))</f>
        <v>12.099884293604759</v>
      </c>
    </row>
    <row r="75" spans="1:16" x14ac:dyDescent="0.25">
      <c r="A75" s="9" t="s">
        <v>11</v>
      </c>
      <c r="B75" s="9" t="s">
        <v>23</v>
      </c>
      <c r="C75" s="9" t="s">
        <v>93</v>
      </c>
      <c r="D75" s="9" t="s">
        <v>61</v>
      </c>
      <c r="E75" s="9" t="s">
        <v>94</v>
      </c>
      <c r="F75" s="9">
        <v>5.2857978621870085</v>
      </c>
      <c r="G75" s="9">
        <v>150.68925590142064</v>
      </c>
      <c r="H75" s="9">
        <v>-1.3988378315717263</v>
      </c>
      <c r="I75" s="9">
        <v>0.39723983185897277</v>
      </c>
      <c r="J75" s="9">
        <v>5.2382171330211287E-2</v>
      </c>
      <c r="K75" s="9">
        <v>0</v>
      </c>
      <c r="L75" s="9">
        <v>0</v>
      </c>
      <c r="M75" s="10">
        <v>12</v>
      </c>
      <c r="N75" s="10">
        <v>86</v>
      </c>
      <c r="O75" s="24">
        <f t="shared" si="3"/>
        <v>30</v>
      </c>
      <c r="P75" s="22">
        <f>(alpha+(beta/(1+EXP((((-1)*ceta)+(delta*LN(speed)))+(epsilon*speed)))))</f>
        <v>7.2609231420431426</v>
      </c>
    </row>
    <row r="76" spans="1:16" x14ac:dyDescent="0.25">
      <c r="A76" s="9" t="s">
        <v>11</v>
      </c>
      <c r="B76" s="9" t="s">
        <v>23</v>
      </c>
      <c r="C76" s="9" t="s">
        <v>93</v>
      </c>
      <c r="D76" s="9" t="s">
        <v>62</v>
      </c>
      <c r="E76" s="9" t="s">
        <v>9</v>
      </c>
      <c r="F76" s="9">
        <v>80.172571885914806</v>
      </c>
      <c r="G76" s="9">
        <v>1.0081473680320474</v>
      </c>
      <c r="H76" s="9">
        <v>-0.74730650956864386</v>
      </c>
      <c r="I76" s="9">
        <v>0</v>
      </c>
      <c r="J76" s="9">
        <v>0</v>
      </c>
      <c r="K76" s="9">
        <v>0</v>
      </c>
      <c r="L76" s="9">
        <v>0</v>
      </c>
      <c r="M76" s="10">
        <v>12</v>
      </c>
      <c r="N76" s="10">
        <v>86</v>
      </c>
      <c r="O76" s="24">
        <f t="shared" si="3"/>
        <v>30</v>
      </c>
      <c r="P76" s="22">
        <f>((alpha*(beta^speed))*(speed^ceta))</f>
        <v>8.0516355002766726</v>
      </c>
    </row>
    <row r="77" spans="1:16" x14ac:dyDescent="0.25">
      <c r="A77" s="9" t="s">
        <v>11</v>
      </c>
      <c r="B77" s="9" t="s">
        <v>23</v>
      </c>
      <c r="C77" s="9" t="s">
        <v>93</v>
      </c>
      <c r="D77" s="9" t="s">
        <v>63</v>
      </c>
      <c r="E77" s="9" t="s">
        <v>94</v>
      </c>
      <c r="F77" s="9">
        <v>3.5568113540352475</v>
      </c>
      <c r="G77" s="9">
        <v>170.81475563315402</v>
      </c>
      <c r="H77" s="9">
        <v>-0.23485957456688478</v>
      </c>
      <c r="I77" s="9">
        <v>1.061448408373765</v>
      </c>
      <c r="J77" s="9">
        <v>4.8006459871620544E-3</v>
      </c>
      <c r="K77" s="9">
        <v>0</v>
      </c>
      <c r="L77" s="9">
        <v>0</v>
      </c>
      <c r="M77" s="10">
        <v>12</v>
      </c>
      <c r="N77" s="10">
        <v>86</v>
      </c>
      <c r="O77" s="24">
        <f t="shared" si="3"/>
        <v>30</v>
      </c>
      <c r="P77" s="22">
        <f>(alpha+(beta/(1+EXP((((-1)*ceta)+(delta*LN(speed)))+(epsilon*speed)))))</f>
        <v>6.6622583755350107</v>
      </c>
    </row>
    <row r="78" spans="1:16" x14ac:dyDescent="0.25">
      <c r="A78" s="9" t="s">
        <v>11</v>
      </c>
      <c r="B78" s="9" t="s">
        <v>23</v>
      </c>
      <c r="C78" s="9" t="s">
        <v>93</v>
      </c>
      <c r="D78" s="9" t="s">
        <v>90</v>
      </c>
      <c r="E78" s="9" t="s">
        <v>94</v>
      </c>
      <c r="F78" s="9">
        <v>2.5672718054400088</v>
      </c>
      <c r="G78" s="9">
        <v>36.839699967144284</v>
      </c>
      <c r="H78" s="9">
        <v>0.94306153912389523</v>
      </c>
      <c r="I78" s="9">
        <v>1.1540978581923484</v>
      </c>
      <c r="J78" s="9">
        <v>-2.4846249152657473E-4</v>
      </c>
      <c r="K78" s="9">
        <v>0</v>
      </c>
      <c r="L78" s="9">
        <v>0</v>
      </c>
      <c r="M78" s="10">
        <v>12</v>
      </c>
      <c r="N78" s="10">
        <v>86</v>
      </c>
      <c r="O78" s="24">
        <f t="shared" si="3"/>
        <v>30</v>
      </c>
      <c r="P78" s="22">
        <f>(alpha+(beta/(1+EXP((((-1)*ceta)+(delta*LN(speed)))+(epsilon*speed)))))</f>
        <v>4.3568499004724384</v>
      </c>
    </row>
    <row r="79" spans="1:16" x14ac:dyDescent="0.25">
      <c r="A79" s="9" t="s">
        <v>11</v>
      </c>
      <c r="B79" s="9" t="s">
        <v>23</v>
      </c>
      <c r="C79" s="9" t="s">
        <v>93</v>
      </c>
      <c r="D79" s="9" t="s">
        <v>64</v>
      </c>
      <c r="E79" s="9" t="s">
        <v>94</v>
      </c>
      <c r="F79" s="9">
        <v>1.5011164558398142</v>
      </c>
      <c r="G79" s="9">
        <v>19.009072346748695</v>
      </c>
      <c r="H79" s="9">
        <v>1.2142909264186512</v>
      </c>
      <c r="I79" s="9">
        <v>1.1709777079334192</v>
      </c>
      <c r="J79" s="9">
        <v>-3.8178416017614121E-4</v>
      </c>
      <c r="K79" s="9">
        <v>0</v>
      </c>
      <c r="L79" s="9">
        <v>0</v>
      </c>
      <c r="M79" s="10">
        <v>12</v>
      </c>
      <c r="N79" s="10">
        <v>86</v>
      </c>
      <c r="O79" s="24">
        <f t="shared" si="3"/>
        <v>30</v>
      </c>
      <c r="P79" s="22">
        <f>(alpha+(beta/(1+EXP((((-1)*ceta)+(delta*LN(speed)))+(epsilon*speed)))))</f>
        <v>2.6358354615454793</v>
      </c>
    </row>
    <row r="80" spans="1:16" x14ac:dyDescent="0.25">
      <c r="A80" s="9" t="s">
        <v>11</v>
      </c>
      <c r="B80" s="9" t="s">
        <v>23</v>
      </c>
      <c r="C80" s="9" t="s">
        <v>93</v>
      </c>
      <c r="D80" s="9" t="s">
        <v>65</v>
      </c>
      <c r="E80" s="9" t="s">
        <v>94</v>
      </c>
      <c r="F80" s="9">
        <v>-5.4537349608640788</v>
      </c>
      <c r="G80" s="9">
        <v>141.75276248727926</v>
      </c>
      <c r="H80" s="9">
        <v>-0.65806497785657669</v>
      </c>
      <c r="I80" s="9">
        <v>0.4803744205073105</v>
      </c>
      <c r="J80" s="9">
        <v>2.3723269237929754E-3</v>
      </c>
      <c r="K80" s="9">
        <v>0</v>
      </c>
      <c r="L80" s="9">
        <v>0</v>
      </c>
      <c r="M80" s="10">
        <v>12</v>
      </c>
      <c r="N80" s="10">
        <v>86</v>
      </c>
      <c r="O80" s="24">
        <f t="shared" si="3"/>
        <v>30</v>
      </c>
      <c r="P80" s="22">
        <f>(alpha+(beta/(1+EXP((((-1)*ceta)+(delta*LN(speed)))+(epsilon*speed)))))</f>
        <v>6.7414632762376669</v>
      </c>
    </row>
    <row r="81" spans="1:16" x14ac:dyDescent="0.25">
      <c r="A81" s="9" t="s">
        <v>11</v>
      </c>
      <c r="B81" s="9" t="s">
        <v>23</v>
      </c>
      <c r="C81" s="9" t="s">
        <v>93</v>
      </c>
      <c r="D81" s="9" t="s">
        <v>66</v>
      </c>
      <c r="E81" s="9" t="s">
        <v>9</v>
      </c>
      <c r="F81" s="9">
        <v>28.860612964665886</v>
      </c>
      <c r="G81" s="9">
        <v>0.97939026998663881</v>
      </c>
      <c r="H81" s="9">
        <v>-0.84349205026210961</v>
      </c>
      <c r="I81" s="9">
        <v>0</v>
      </c>
      <c r="J81" s="9">
        <v>0</v>
      </c>
      <c r="K81" s="9">
        <v>0</v>
      </c>
      <c r="L81" s="9">
        <v>0</v>
      </c>
      <c r="M81" s="10">
        <v>12</v>
      </c>
      <c r="N81" s="10">
        <v>86</v>
      </c>
      <c r="O81" s="24">
        <f t="shared" si="3"/>
        <v>30</v>
      </c>
      <c r="P81" s="22">
        <f>((alpha*(beta^speed))*(speed^ceta))</f>
        <v>0.87707971700243048</v>
      </c>
    </row>
    <row r="82" spans="1:16" x14ac:dyDescent="0.25">
      <c r="A82" s="9" t="s">
        <v>11</v>
      </c>
      <c r="B82" s="9" t="s">
        <v>22</v>
      </c>
      <c r="C82" s="9" t="s">
        <v>93</v>
      </c>
      <c r="D82" s="9" t="s">
        <v>60</v>
      </c>
      <c r="E82" s="9" t="s">
        <v>9</v>
      </c>
      <c r="F82" s="9">
        <v>105.36683584664735</v>
      </c>
      <c r="G82" s="9">
        <v>1.0055652656096821</v>
      </c>
      <c r="H82" s="9">
        <v>-0.659884123764365</v>
      </c>
      <c r="I82" s="9">
        <v>0</v>
      </c>
      <c r="J82" s="9">
        <v>0</v>
      </c>
      <c r="K82" s="9">
        <v>0</v>
      </c>
      <c r="L82" s="9">
        <v>0</v>
      </c>
      <c r="M82" s="10">
        <v>12</v>
      </c>
      <c r="N82" s="10">
        <v>86</v>
      </c>
      <c r="O82" s="24">
        <f t="shared" si="3"/>
        <v>30</v>
      </c>
      <c r="P82" s="22">
        <f>((alpha*(beta^speed))*(speed^ceta))</f>
        <v>13.191159684101118</v>
      </c>
    </row>
    <row r="83" spans="1:16" x14ac:dyDescent="0.25">
      <c r="A83" s="9" t="s">
        <v>11</v>
      </c>
      <c r="B83" s="9" t="s">
        <v>22</v>
      </c>
      <c r="C83" s="9" t="s">
        <v>93</v>
      </c>
      <c r="D83" s="9" t="s">
        <v>61</v>
      </c>
      <c r="E83" s="9" t="s">
        <v>94</v>
      </c>
      <c r="F83" s="9">
        <v>6.0265573981035203</v>
      </c>
      <c r="G83" s="9">
        <v>116.9838877861639</v>
      </c>
      <c r="H83" s="9">
        <v>-0.40941051969421549</v>
      </c>
      <c r="I83" s="9">
        <v>0.6786333846927266</v>
      </c>
      <c r="J83" s="9">
        <v>2.7397770011775908E-2</v>
      </c>
      <c r="K83" s="9">
        <v>0</v>
      </c>
      <c r="L83" s="9">
        <v>0</v>
      </c>
      <c r="M83" s="10">
        <v>12</v>
      </c>
      <c r="N83" s="10">
        <v>86</v>
      </c>
      <c r="O83" s="24">
        <f t="shared" si="3"/>
        <v>30</v>
      </c>
      <c r="P83" s="22">
        <f>(alpha+(beta/(1+EXP((((-1)*ceta)+(delta*LN(speed)))+(epsilon*speed)))))</f>
        <v>9.3265237351549004</v>
      </c>
    </row>
    <row r="84" spans="1:16" x14ac:dyDescent="0.25">
      <c r="A84" s="9" t="s">
        <v>11</v>
      </c>
      <c r="B84" s="9" t="s">
        <v>22</v>
      </c>
      <c r="C84" s="9" t="s">
        <v>93</v>
      </c>
      <c r="D84" s="9" t="s">
        <v>62</v>
      </c>
      <c r="E84" s="9" t="s">
        <v>9</v>
      </c>
      <c r="F84" s="9">
        <v>87.745314166684821</v>
      </c>
      <c r="G84" s="9">
        <v>1.0056714690629427</v>
      </c>
      <c r="H84" s="9">
        <v>-0.68201506805496348</v>
      </c>
      <c r="I84" s="9">
        <v>0</v>
      </c>
      <c r="J84" s="9">
        <v>0</v>
      </c>
      <c r="K84" s="9">
        <v>0</v>
      </c>
      <c r="L84" s="9">
        <v>0</v>
      </c>
      <c r="M84" s="10">
        <v>12</v>
      </c>
      <c r="N84" s="10">
        <v>86</v>
      </c>
      <c r="O84" s="24">
        <f t="shared" si="3"/>
        <v>30</v>
      </c>
      <c r="P84" s="22">
        <f>((alpha*(beta^speed))*(speed^ceta))</f>
        <v>10.220893447082252</v>
      </c>
    </row>
    <row r="85" spans="1:16" x14ac:dyDescent="0.25">
      <c r="A85" s="9" t="s">
        <v>11</v>
      </c>
      <c r="B85" s="9" t="s">
        <v>22</v>
      </c>
      <c r="C85" s="9" t="s">
        <v>93</v>
      </c>
      <c r="D85" s="9" t="s">
        <v>63</v>
      </c>
      <c r="E85" s="9" t="s">
        <v>94</v>
      </c>
      <c r="F85" s="9">
        <v>5.0641639189612837</v>
      </c>
      <c r="G85" s="9">
        <v>154.60666134833619</v>
      </c>
      <c r="H85" s="9">
        <v>-0.5973465758382942</v>
      </c>
      <c r="I85" s="9">
        <v>0.7411165715319471</v>
      </c>
      <c r="J85" s="9">
        <v>2.4060203481178783E-2</v>
      </c>
      <c r="K85" s="9">
        <v>0</v>
      </c>
      <c r="L85" s="9">
        <v>0</v>
      </c>
      <c r="M85" s="10">
        <v>12</v>
      </c>
      <c r="N85" s="10">
        <v>86</v>
      </c>
      <c r="O85" s="24">
        <f t="shared" si="3"/>
        <v>30</v>
      </c>
      <c r="P85" s="22">
        <f>(alpha+(beta/(1+EXP((((-1)*ceta)+(delta*LN(speed)))+(epsilon*speed)))))</f>
        <v>8.3178173140311884</v>
      </c>
    </row>
    <row r="86" spans="1:16" x14ac:dyDescent="0.25">
      <c r="A86" s="9" t="s">
        <v>11</v>
      </c>
      <c r="B86" s="9" t="s">
        <v>22</v>
      </c>
      <c r="C86" s="9" t="s">
        <v>93</v>
      </c>
      <c r="D86" s="9" t="s">
        <v>90</v>
      </c>
      <c r="E86" s="9" t="s">
        <v>94</v>
      </c>
      <c r="F86" s="9">
        <v>3.7555409957002719</v>
      </c>
      <c r="G86" s="9">
        <v>51.359173683500451</v>
      </c>
      <c r="H86" s="9">
        <v>-0.24421154627008818</v>
      </c>
      <c r="I86" s="9">
        <v>0.63762179199175184</v>
      </c>
      <c r="J86" s="9">
        <v>3.0598135334334739E-2</v>
      </c>
      <c r="K86" s="9">
        <v>0</v>
      </c>
      <c r="L86" s="9">
        <v>0</v>
      </c>
      <c r="M86" s="10">
        <v>12</v>
      </c>
      <c r="N86" s="10">
        <v>86</v>
      </c>
      <c r="O86" s="24">
        <f t="shared" si="3"/>
        <v>30</v>
      </c>
      <c r="P86" s="22">
        <f>(alpha+(beta/(1+EXP((((-1)*ceta)+(delta*LN(speed)))+(epsilon*speed)))))</f>
        <v>5.5288933775936933</v>
      </c>
    </row>
    <row r="87" spans="1:16" x14ac:dyDescent="0.25">
      <c r="A87" s="9" t="s">
        <v>11</v>
      </c>
      <c r="B87" s="9" t="s">
        <v>22</v>
      </c>
      <c r="C87" s="9" t="s">
        <v>93</v>
      </c>
      <c r="D87" s="9" t="s">
        <v>64</v>
      </c>
      <c r="E87" s="9" t="s">
        <v>94</v>
      </c>
      <c r="F87" s="9">
        <v>2.2190170520927421</v>
      </c>
      <c r="G87" s="9">
        <v>25.704144161471969</v>
      </c>
      <c r="H87" s="9">
        <v>6.2099533620884564E-2</v>
      </c>
      <c r="I87" s="9">
        <v>0.68462327375485077</v>
      </c>
      <c r="J87" s="9">
        <v>2.8930691925166341E-2</v>
      </c>
      <c r="K87" s="9">
        <v>0</v>
      </c>
      <c r="L87" s="9">
        <v>0</v>
      </c>
      <c r="M87" s="10">
        <v>12</v>
      </c>
      <c r="N87" s="10">
        <v>86</v>
      </c>
      <c r="O87" s="24">
        <f t="shared" si="3"/>
        <v>30</v>
      </c>
      <c r="P87" s="22">
        <f>(alpha+(beta/(1+EXP((((-1)*ceta)+(delta*LN(speed)))+(epsilon*speed)))))</f>
        <v>3.2911876883091695</v>
      </c>
    </row>
    <row r="88" spans="1:16" x14ac:dyDescent="0.25">
      <c r="A88" s="9" t="s">
        <v>11</v>
      </c>
      <c r="B88" s="9" t="s">
        <v>22</v>
      </c>
      <c r="C88" s="9" t="s">
        <v>93</v>
      </c>
      <c r="D88" s="9" t="s">
        <v>65</v>
      </c>
      <c r="E88" s="9" t="s">
        <v>94</v>
      </c>
      <c r="F88" s="9">
        <v>-5.2338955605225355</v>
      </c>
      <c r="G88" s="9">
        <v>218.05080216376618</v>
      </c>
      <c r="H88" s="9">
        <v>-0.8454569939986164</v>
      </c>
      <c r="I88" s="9">
        <v>0.5418857905193788</v>
      </c>
      <c r="J88" s="9">
        <v>2.8898934071921257E-3</v>
      </c>
      <c r="K88" s="9">
        <v>0</v>
      </c>
      <c r="L88" s="9">
        <v>0</v>
      </c>
      <c r="M88" s="10">
        <v>12</v>
      </c>
      <c r="N88" s="10">
        <v>86</v>
      </c>
      <c r="O88" s="24">
        <f t="shared" si="3"/>
        <v>30</v>
      </c>
      <c r="P88" s="22">
        <f>(alpha+(beta/(1+EXP((((-1)*ceta)+(delta*LN(speed)))+(epsilon*speed)))))</f>
        <v>7.560962547421207</v>
      </c>
    </row>
    <row r="89" spans="1:16" x14ac:dyDescent="0.25">
      <c r="A89" s="9" t="s">
        <v>11</v>
      </c>
      <c r="B89" s="9" t="s">
        <v>22</v>
      </c>
      <c r="C89" s="9" t="s">
        <v>93</v>
      </c>
      <c r="D89" s="9" t="s">
        <v>66</v>
      </c>
      <c r="E89" s="9" t="s">
        <v>9</v>
      </c>
      <c r="F89" s="9">
        <v>58.02751866676801</v>
      </c>
      <c r="G89" s="9">
        <v>0.98805401730943954</v>
      </c>
      <c r="H89" s="9">
        <v>-1.1204147628471681</v>
      </c>
      <c r="I89" s="9">
        <v>0</v>
      </c>
      <c r="J89" s="9">
        <v>0</v>
      </c>
      <c r="K89" s="9">
        <v>0</v>
      </c>
      <c r="L89" s="9">
        <v>0</v>
      </c>
      <c r="M89" s="10">
        <v>12</v>
      </c>
      <c r="N89" s="10">
        <v>86</v>
      </c>
      <c r="O89" s="24">
        <f t="shared" si="3"/>
        <v>30</v>
      </c>
      <c r="P89" s="22">
        <f>((alpha*(beta^speed))*(speed^ceta))</f>
        <v>0.8955012334153426</v>
      </c>
    </row>
    <row r="90" spans="1:16" x14ac:dyDescent="0.25">
      <c r="A90" s="9" t="s">
        <v>11</v>
      </c>
      <c r="B90" s="9" t="s">
        <v>21</v>
      </c>
      <c r="C90" s="9" t="s">
        <v>93</v>
      </c>
      <c r="D90" s="9" t="s">
        <v>60</v>
      </c>
      <c r="E90" s="9" t="s">
        <v>9</v>
      </c>
      <c r="F90" s="9">
        <v>93.434684492285953</v>
      </c>
      <c r="G90" s="9">
        <v>1.0043561250735031</v>
      </c>
      <c r="H90" s="9">
        <v>-0.60040255733429637</v>
      </c>
      <c r="I90" s="9">
        <v>0</v>
      </c>
      <c r="J90" s="9">
        <v>0</v>
      </c>
      <c r="K90" s="9">
        <v>0</v>
      </c>
      <c r="L90" s="9">
        <v>0</v>
      </c>
      <c r="M90" s="10">
        <v>12</v>
      </c>
      <c r="N90" s="10">
        <v>86</v>
      </c>
      <c r="O90" s="24">
        <f t="shared" si="3"/>
        <v>30</v>
      </c>
      <c r="P90" s="22">
        <f>((alpha*(beta^speed))*(speed^ceta))</f>
        <v>13.812513593164946</v>
      </c>
    </row>
    <row r="91" spans="1:16" x14ac:dyDescent="0.25">
      <c r="A91" s="9" t="s">
        <v>11</v>
      </c>
      <c r="B91" s="9" t="s">
        <v>21</v>
      </c>
      <c r="C91" s="9" t="s">
        <v>93</v>
      </c>
      <c r="D91" s="9" t="s">
        <v>61</v>
      </c>
      <c r="E91" s="9" t="s">
        <v>94</v>
      </c>
      <c r="F91" s="9">
        <v>6.1191182087101854</v>
      </c>
      <c r="G91" s="9">
        <v>70.118680588128441</v>
      </c>
      <c r="H91" s="9">
        <v>0.33470957834841952</v>
      </c>
      <c r="I91" s="9">
        <v>0.75203448559489861</v>
      </c>
      <c r="J91" s="9">
        <v>2.1932690897406154E-2</v>
      </c>
      <c r="K91" s="9">
        <v>0</v>
      </c>
      <c r="L91" s="9">
        <v>0</v>
      </c>
      <c r="M91" s="10">
        <v>12</v>
      </c>
      <c r="N91" s="10">
        <v>86</v>
      </c>
      <c r="O91" s="24">
        <f t="shared" si="3"/>
        <v>30</v>
      </c>
      <c r="P91" s="22">
        <f>(alpha+(beta/(1+EXP((((-1)*ceta)+(delta*LN(speed)))+(epsilon*speed)))))</f>
        <v>9.8421652234031214</v>
      </c>
    </row>
    <row r="92" spans="1:16" x14ac:dyDescent="0.25">
      <c r="A92" s="9" t="s">
        <v>11</v>
      </c>
      <c r="B92" s="9" t="s">
        <v>21</v>
      </c>
      <c r="C92" s="9" t="s">
        <v>93</v>
      </c>
      <c r="D92" s="9" t="s">
        <v>62</v>
      </c>
      <c r="E92" s="9" t="s">
        <v>9</v>
      </c>
      <c r="F92" s="9">
        <v>83.237098882254699</v>
      </c>
      <c r="G92" s="9">
        <v>1.0047493896036594</v>
      </c>
      <c r="H92" s="9">
        <v>-0.64618974901472026</v>
      </c>
      <c r="I92" s="9">
        <v>0</v>
      </c>
      <c r="J92" s="9">
        <v>0</v>
      </c>
      <c r="K92" s="9">
        <v>0</v>
      </c>
      <c r="L92" s="9">
        <v>0</v>
      </c>
      <c r="M92" s="10">
        <v>12</v>
      </c>
      <c r="N92" s="10">
        <v>86</v>
      </c>
      <c r="O92" s="24">
        <f t="shared" si="3"/>
        <v>30</v>
      </c>
      <c r="P92" s="22">
        <f>((alpha*(beta^speed))*(speed^ceta))</f>
        <v>10.654887117305787</v>
      </c>
    </row>
    <row r="93" spans="1:16" x14ac:dyDescent="0.25">
      <c r="A93" s="9" t="s">
        <v>11</v>
      </c>
      <c r="B93" s="9" t="s">
        <v>21</v>
      </c>
      <c r="C93" s="9" t="s">
        <v>93</v>
      </c>
      <c r="D93" s="9" t="s">
        <v>63</v>
      </c>
      <c r="E93" s="9" t="s">
        <v>94</v>
      </c>
      <c r="F93" s="9">
        <v>5.1052632773655855</v>
      </c>
      <c r="G93" s="9">
        <v>19.471158194220177</v>
      </c>
      <c r="H93" s="9">
        <v>3.8094350917162942</v>
      </c>
      <c r="I93" s="9">
        <v>1.4859138467354009</v>
      </c>
      <c r="J93" s="9">
        <v>1.0984405570359321E-2</v>
      </c>
      <c r="K93" s="9">
        <v>0</v>
      </c>
      <c r="L93" s="9">
        <v>0</v>
      </c>
      <c r="M93" s="10">
        <v>12</v>
      </c>
      <c r="N93" s="10">
        <v>86</v>
      </c>
      <c r="O93" s="24">
        <f t="shared" si="3"/>
        <v>30</v>
      </c>
      <c r="P93" s="22">
        <f>(alpha+(beta/(1+EXP((((-1)*ceta)+(delta*LN(speed)))+(epsilon*speed)))))</f>
        <v>8.4474734347693659</v>
      </c>
    </row>
    <row r="94" spans="1:16" x14ac:dyDescent="0.25">
      <c r="A94" s="9" t="s">
        <v>11</v>
      </c>
      <c r="B94" s="9" t="s">
        <v>21</v>
      </c>
      <c r="C94" s="9" t="s">
        <v>93</v>
      </c>
      <c r="D94" s="9" t="s">
        <v>90</v>
      </c>
      <c r="E94" s="9" t="s">
        <v>94</v>
      </c>
      <c r="F94" s="9">
        <v>3.8408292064390515</v>
      </c>
      <c r="G94" s="9">
        <v>37.582651890372773</v>
      </c>
      <c r="H94" s="9">
        <v>6.9906037139428043E-2</v>
      </c>
      <c r="I94" s="9">
        <v>0.58808701804594199</v>
      </c>
      <c r="J94" s="9">
        <v>3.4824534146563696E-2</v>
      </c>
      <c r="K94" s="9">
        <v>0</v>
      </c>
      <c r="L94" s="9">
        <v>0</v>
      </c>
      <c r="M94" s="10">
        <v>12</v>
      </c>
      <c r="N94" s="10">
        <v>86</v>
      </c>
      <c r="O94" s="24">
        <f t="shared" si="3"/>
        <v>30</v>
      </c>
      <c r="P94" s="22">
        <f>(alpha+(beta/(1+EXP((((-1)*ceta)+(delta*LN(speed)))+(epsilon*speed)))))</f>
        <v>5.6660971220532881</v>
      </c>
    </row>
    <row r="95" spans="1:16" x14ac:dyDescent="0.25">
      <c r="A95" s="9" t="s">
        <v>11</v>
      </c>
      <c r="B95" s="9" t="s">
        <v>21</v>
      </c>
      <c r="C95" s="9" t="s">
        <v>93</v>
      </c>
      <c r="D95" s="9" t="s">
        <v>64</v>
      </c>
      <c r="E95" s="9" t="s">
        <v>94</v>
      </c>
      <c r="F95" s="9">
        <v>2.2666790170757452</v>
      </c>
      <c r="G95" s="9">
        <v>15.307948039093748</v>
      </c>
      <c r="H95" s="9">
        <v>0.80592532054856902</v>
      </c>
      <c r="I95" s="9">
        <v>0.70961262897199884</v>
      </c>
      <c r="J95" s="9">
        <v>3.1540563655803357E-2</v>
      </c>
      <c r="K95" s="9">
        <v>0</v>
      </c>
      <c r="L95" s="9">
        <v>0</v>
      </c>
      <c r="M95" s="10">
        <v>12</v>
      </c>
      <c r="N95" s="10">
        <v>86</v>
      </c>
      <c r="O95" s="24">
        <f t="shared" si="3"/>
        <v>30</v>
      </c>
      <c r="P95" s="22">
        <f>(alpha+(beta/(1+EXP((((-1)*ceta)+(delta*LN(speed)))+(epsilon*speed)))))</f>
        <v>3.3714534983999789</v>
      </c>
    </row>
    <row r="96" spans="1:16" x14ac:dyDescent="0.25">
      <c r="A96" s="9" t="s">
        <v>11</v>
      </c>
      <c r="B96" s="9" t="s">
        <v>21</v>
      </c>
      <c r="C96" s="9" t="s">
        <v>93</v>
      </c>
      <c r="D96" s="9" t="s">
        <v>65</v>
      </c>
      <c r="E96" s="9" t="s">
        <v>94</v>
      </c>
      <c r="F96" s="9">
        <v>-4.2348861826595199</v>
      </c>
      <c r="G96" s="9">
        <v>173.75251749707238</v>
      </c>
      <c r="H96" s="9">
        <v>-0.54067489987607387</v>
      </c>
      <c r="I96" s="9">
        <v>0.56605385578487721</v>
      </c>
      <c r="J96" s="9">
        <v>4.6226915767113774E-3</v>
      </c>
      <c r="K96" s="9">
        <v>0</v>
      </c>
      <c r="L96" s="9">
        <v>0</v>
      </c>
      <c r="M96" s="10">
        <v>12</v>
      </c>
      <c r="N96" s="10">
        <v>86</v>
      </c>
      <c r="O96" s="24">
        <f t="shared" si="3"/>
        <v>30</v>
      </c>
      <c r="P96" s="22">
        <f>(alpha+(beta/(1+EXP((((-1)*ceta)+(delta*LN(speed)))+(epsilon*speed)))))</f>
        <v>7.7265669142830022</v>
      </c>
    </row>
    <row r="97" spans="1:16" x14ac:dyDescent="0.25">
      <c r="A97" s="9" t="s">
        <v>11</v>
      </c>
      <c r="B97" s="9" t="s">
        <v>21</v>
      </c>
      <c r="C97" s="9" t="s">
        <v>93</v>
      </c>
      <c r="D97" s="9" t="s">
        <v>66</v>
      </c>
      <c r="E97" s="9" t="s">
        <v>94</v>
      </c>
      <c r="F97" s="9">
        <v>-0.35973542213093029</v>
      </c>
      <c r="G97" s="9">
        <v>64.078505897376445</v>
      </c>
      <c r="H97" s="9">
        <v>0.35964052504915817</v>
      </c>
      <c r="I97" s="9">
        <v>1.3347543714102459</v>
      </c>
      <c r="J97" s="9">
        <v>-8.8661562280227275E-3</v>
      </c>
      <c r="K97" s="9">
        <v>0</v>
      </c>
      <c r="L97" s="9">
        <v>0</v>
      </c>
      <c r="M97" s="10">
        <v>12</v>
      </c>
      <c r="N97" s="10">
        <v>86</v>
      </c>
      <c r="O97" s="24">
        <f t="shared" si="3"/>
        <v>30</v>
      </c>
      <c r="P97" s="22">
        <f>(alpha+(beta/(1+EXP((((-1)*ceta)+(delta*LN(speed)))+(epsilon*speed)))))</f>
        <v>0.89410342447415614</v>
      </c>
    </row>
    <row r="98" spans="1:16" x14ac:dyDescent="0.25">
      <c r="A98" s="9" t="s">
        <v>11</v>
      </c>
      <c r="B98" s="9" t="s">
        <v>20</v>
      </c>
      <c r="C98" s="9" t="s">
        <v>93</v>
      </c>
      <c r="D98" s="9" t="s">
        <v>60</v>
      </c>
      <c r="E98" s="9" t="s">
        <v>9</v>
      </c>
      <c r="F98" s="9">
        <v>81.839290267929115</v>
      </c>
      <c r="G98" s="9">
        <v>1.003414910204244</v>
      </c>
      <c r="H98" s="9">
        <v>-0.52003783612252941</v>
      </c>
      <c r="I98" s="9">
        <v>0</v>
      </c>
      <c r="J98" s="9">
        <v>0</v>
      </c>
      <c r="K98" s="9">
        <v>0</v>
      </c>
      <c r="L98" s="9">
        <v>0</v>
      </c>
      <c r="M98" s="10">
        <v>12</v>
      </c>
      <c r="N98" s="10">
        <v>86</v>
      </c>
      <c r="O98" s="24">
        <f t="shared" si="3"/>
        <v>30</v>
      </c>
      <c r="P98" s="22">
        <f>((alpha*(beta^speed))*(speed^ceta))</f>
        <v>15.460353401689446</v>
      </c>
    </row>
    <row r="99" spans="1:16" x14ac:dyDescent="0.25">
      <c r="A99" s="9" t="s">
        <v>11</v>
      </c>
      <c r="B99" s="9" t="s">
        <v>20</v>
      </c>
      <c r="C99" s="9" t="s">
        <v>93</v>
      </c>
      <c r="D99" s="9" t="s">
        <v>61</v>
      </c>
      <c r="E99" s="9" t="s">
        <v>9</v>
      </c>
      <c r="F99" s="9">
        <v>70.678431451192765</v>
      </c>
      <c r="G99" s="9">
        <v>1.0042723466318511</v>
      </c>
      <c r="H99" s="9">
        <v>-0.57954637961058308</v>
      </c>
      <c r="I99" s="9">
        <v>0</v>
      </c>
      <c r="J99" s="9">
        <v>0</v>
      </c>
      <c r="K99" s="9">
        <v>0</v>
      </c>
      <c r="L99" s="9">
        <v>0</v>
      </c>
      <c r="M99" s="10">
        <v>12</v>
      </c>
      <c r="N99" s="10">
        <v>86</v>
      </c>
      <c r="O99" s="24">
        <f t="shared" si="3"/>
        <v>30</v>
      </c>
      <c r="P99" s="22">
        <f>((alpha*(beta^speed))*(speed^ceta))</f>
        <v>11.188497125572104</v>
      </c>
    </row>
    <row r="100" spans="1:16" x14ac:dyDescent="0.25">
      <c r="A100" s="9" t="s">
        <v>11</v>
      </c>
      <c r="B100" s="9" t="s">
        <v>20</v>
      </c>
      <c r="C100" s="9" t="s">
        <v>93</v>
      </c>
      <c r="D100" s="9" t="s">
        <v>62</v>
      </c>
      <c r="E100" s="9" t="s">
        <v>9</v>
      </c>
      <c r="F100" s="9">
        <v>80.381199983821489</v>
      </c>
      <c r="G100" s="9">
        <v>1.0041502058722911</v>
      </c>
      <c r="H100" s="9">
        <v>-0.59431682758232862</v>
      </c>
      <c r="I100" s="9">
        <v>0</v>
      </c>
      <c r="J100" s="9">
        <v>0</v>
      </c>
      <c r="K100" s="9">
        <v>0</v>
      </c>
      <c r="L100" s="9">
        <v>0</v>
      </c>
      <c r="M100" s="10">
        <v>12</v>
      </c>
      <c r="N100" s="10">
        <v>86</v>
      </c>
      <c r="O100" s="24">
        <f t="shared" si="3"/>
        <v>30</v>
      </c>
      <c r="P100" s="22">
        <f>((alpha*(beta^speed))*(speed^ceta))</f>
        <v>12.056934910083413</v>
      </c>
    </row>
    <row r="101" spans="1:16" x14ac:dyDescent="0.25">
      <c r="A101" s="9" t="s">
        <v>11</v>
      </c>
      <c r="B101" s="9" t="s">
        <v>20</v>
      </c>
      <c r="C101" s="9" t="s">
        <v>93</v>
      </c>
      <c r="D101" s="9" t="s">
        <v>63</v>
      </c>
      <c r="E101" s="9" t="s">
        <v>9</v>
      </c>
      <c r="F101" s="9">
        <v>93.263100209067801</v>
      </c>
      <c r="G101" s="9">
        <v>1.0061436478899337</v>
      </c>
      <c r="H101" s="9">
        <v>-0.72161924937486699</v>
      </c>
      <c r="I101" s="9">
        <v>0</v>
      </c>
      <c r="J101" s="9">
        <v>0</v>
      </c>
      <c r="K101" s="9">
        <v>0</v>
      </c>
      <c r="L101" s="9">
        <v>0</v>
      </c>
      <c r="M101" s="10">
        <v>12</v>
      </c>
      <c r="N101" s="10">
        <v>86</v>
      </c>
      <c r="O101" s="24">
        <f t="shared" si="3"/>
        <v>30</v>
      </c>
      <c r="P101" s="22">
        <f>((alpha*(beta^speed))*(speed^ceta))</f>
        <v>9.6292044498338196</v>
      </c>
    </row>
    <row r="102" spans="1:16" x14ac:dyDescent="0.25">
      <c r="A102" s="9" t="s">
        <v>11</v>
      </c>
      <c r="B102" s="9" t="s">
        <v>20</v>
      </c>
      <c r="C102" s="9" t="s">
        <v>93</v>
      </c>
      <c r="D102" s="9" t="s">
        <v>90</v>
      </c>
      <c r="E102" s="9" t="s">
        <v>12</v>
      </c>
      <c r="F102" s="9">
        <v>-4.1520304084334883E-5</v>
      </c>
      <c r="G102" s="9">
        <v>7.4156841517428159E-3</v>
      </c>
      <c r="H102" s="9">
        <v>-0.45206150449969279</v>
      </c>
      <c r="I102" s="9">
        <v>14.496220405306065</v>
      </c>
      <c r="J102" s="9">
        <v>0</v>
      </c>
      <c r="K102" s="9">
        <v>0</v>
      </c>
      <c r="L102" s="9">
        <v>0</v>
      </c>
      <c r="M102" s="10">
        <v>12</v>
      </c>
      <c r="N102" s="10">
        <v>86</v>
      </c>
      <c r="O102" s="24">
        <f t="shared" si="3"/>
        <v>30</v>
      </c>
      <c r="P102" s="22">
        <f>(((alpha*(speed^3))+(beta*(speed^2))+(ceta*speed))+delta)</f>
        <v>6.4874427966067749</v>
      </c>
    </row>
    <row r="103" spans="1:16" x14ac:dyDescent="0.25">
      <c r="A103" s="9" t="s">
        <v>11</v>
      </c>
      <c r="B103" s="9" t="s">
        <v>20</v>
      </c>
      <c r="C103" s="9" t="s">
        <v>93</v>
      </c>
      <c r="D103" s="9" t="s">
        <v>64</v>
      </c>
      <c r="E103" s="9" t="s">
        <v>12</v>
      </c>
      <c r="F103" s="9">
        <v>-2.523046389109738E-5</v>
      </c>
      <c r="G103" s="9">
        <v>4.5021881554429509E-3</v>
      </c>
      <c r="H103" s="9">
        <v>-0.27392954465248259</v>
      </c>
      <c r="I103" s="9">
        <v>8.7080528741383585</v>
      </c>
      <c r="J103" s="9">
        <v>0</v>
      </c>
      <c r="K103" s="9">
        <v>0</v>
      </c>
      <c r="L103" s="9">
        <v>0</v>
      </c>
      <c r="M103" s="10">
        <v>12</v>
      </c>
      <c r="N103" s="10">
        <v>86</v>
      </c>
      <c r="O103" s="24">
        <f t="shared" si="3"/>
        <v>30</v>
      </c>
      <c r="P103" s="22">
        <f>(((alpha*(speed^3))+(beta*(speed^2))+(ceta*speed))+delta)</f>
        <v>3.8609133494029075</v>
      </c>
    </row>
    <row r="104" spans="1:16" x14ac:dyDescent="0.25">
      <c r="A104" s="9" t="s">
        <v>11</v>
      </c>
      <c r="B104" s="9" t="s">
        <v>20</v>
      </c>
      <c r="C104" s="9" t="s">
        <v>93</v>
      </c>
      <c r="D104" s="9" t="s">
        <v>65</v>
      </c>
      <c r="E104" s="9" t="s">
        <v>9</v>
      </c>
      <c r="F104" s="9">
        <v>57.083144571722499</v>
      </c>
      <c r="G104" s="9">
        <v>0.97234901535588703</v>
      </c>
      <c r="H104" s="9">
        <v>-0.33574408100736247</v>
      </c>
      <c r="I104" s="9">
        <v>0</v>
      </c>
      <c r="J104" s="9">
        <v>0</v>
      </c>
      <c r="K104" s="9">
        <v>0</v>
      </c>
      <c r="L104" s="9">
        <v>0</v>
      </c>
      <c r="M104" s="10">
        <v>12</v>
      </c>
      <c r="N104" s="10">
        <v>86</v>
      </c>
      <c r="O104" s="24">
        <f t="shared" si="3"/>
        <v>30</v>
      </c>
      <c r="P104" s="22">
        <f>((alpha*(beta^speed))*(speed^ceta))</f>
        <v>7.8566703901082304</v>
      </c>
    </row>
    <row r="105" spans="1:16" x14ac:dyDescent="0.25">
      <c r="A105" s="9" t="s">
        <v>11</v>
      </c>
      <c r="B105" s="9" t="s">
        <v>20</v>
      </c>
      <c r="C105" s="9" t="s">
        <v>93</v>
      </c>
      <c r="D105" s="9" t="s">
        <v>66</v>
      </c>
      <c r="E105" s="9" t="s">
        <v>15</v>
      </c>
      <c r="F105" s="9">
        <v>-1.4925032200060124E-2</v>
      </c>
      <c r="G105" s="9">
        <v>9.1231076838918183E-3</v>
      </c>
      <c r="H105" s="9">
        <v>1.4502355995484784</v>
      </c>
      <c r="I105" s="9">
        <v>0</v>
      </c>
      <c r="J105" s="9">
        <v>0</v>
      </c>
      <c r="K105" s="9">
        <v>0</v>
      </c>
      <c r="L105" s="9">
        <v>0</v>
      </c>
      <c r="M105" s="10">
        <v>12</v>
      </c>
      <c r="N105" s="10">
        <v>86</v>
      </c>
      <c r="O105" s="24">
        <f t="shared" ref="O105:O136" si="4">IF($O$2&lt;M105,M105,IF($O$2&gt;N105,N105,$O$2))</f>
        <v>30</v>
      </c>
      <c r="P105" s="22">
        <f>(1/(alpha+(beta*(speed^ceta))))</f>
        <v>0.79953068942135264</v>
      </c>
    </row>
    <row r="106" spans="1:16" x14ac:dyDescent="0.25">
      <c r="A106" s="9" t="s">
        <v>11</v>
      </c>
      <c r="B106" s="9" t="s">
        <v>19</v>
      </c>
      <c r="C106" s="9" t="s">
        <v>93</v>
      </c>
      <c r="D106" s="9" t="s">
        <v>60</v>
      </c>
      <c r="E106" s="9" t="s">
        <v>9</v>
      </c>
      <c r="F106" s="9">
        <v>98.276650266272256</v>
      </c>
      <c r="G106" s="9">
        <v>1.0030823170471492</v>
      </c>
      <c r="H106" s="9">
        <v>-0.56101180882557633</v>
      </c>
      <c r="I106" s="9">
        <v>0</v>
      </c>
      <c r="J106" s="9">
        <v>0</v>
      </c>
      <c r="K106" s="9">
        <v>0</v>
      </c>
      <c r="L106" s="9">
        <v>0</v>
      </c>
      <c r="M106" s="10">
        <v>12</v>
      </c>
      <c r="N106" s="10">
        <v>86</v>
      </c>
      <c r="O106" s="24">
        <f t="shared" si="4"/>
        <v>30</v>
      </c>
      <c r="P106" s="22">
        <f>((alpha*(beta^speed))*(speed^ceta))</f>
        <v>15.990612985151774</v>
      </c>
    </row>
    <row r="107" spans="1:16" x14ac:dyDescent="0.25">
      <c r="A107" s="9" t="s">
        <v>11</v>
      </c>
      <c r="B107" s="9" t="s">
        <v>19</v>
      </c>
      <c r="C107" s="9" t="s">
        <v>93</v>
      </c>
      <c r="D107" s="9" t="s">
        <v>61</v>
      </c>
      <c r="E107" s="9" t="s">
        <v>9</v>
      </c>
      <c r="F107" s="9">
        <v>78.254411857055999</v>
      </c>
      <c r="G107" s="9">
        <v>1.0037831269411042</v>
      </c>
      <c r="H107" s="9">
        <v>-0.59909157464928597</v>
      </c>
      <c r="I107" s="9">
        <v>0</v>
      </c>
      <c r="J107" s="9">
        <v>0</v>
      </c>
      <c r="K107" s="9">
        <v>0</v>
      </c>
      <c r="L107" s="9">
        <v>0</v>
      </c>
      <c r="M107" s="10">
        <v>12</v>
      </c>
      <c r="N107" s="10">
        <v>86</v>
      </c>
      <c r="O107" s="24">
        <f t="shared" si="4"/>
        <v>30</v>
      </c>
      <c r="P107" s="22">
        <f>((alpha*(beta^speed))*(speed^ceta))</f>
        <v>11.42285509980527</v>
      </c>
    </row>
    <row r="108" spans="1:16" x14ac:dyDescent="0.25">
      <c r="A108" s="9" t="s">
        <v>11</v>
      </c>
      <c r="B108" s="9" t="s">
        <v>19</v>
      </c>
      <c r="C108" s="9" t="s">
        <v>93</v>
      </c>
      <c r="D108" s="9" t="s">
        <v>62</v>
      </c>
      <c r="E108" s="9" t="s">
        <v>9</v>
      </c>
      <c r="F108" s="9">
        <v>90.348883027220836</v>
      </c>
      <c r="G108" s="9">
        <v>1.0038827805984565</v>
      </c>
      <c r="H108" s="9">
        <v>-0.61901368058746042</v>
      </c>
      <c r="I108" s="9">
        <v>0</v>
      </c>
      <c r="J108" s="9">
        <v>0</v>
      </c>
      <c r="K108" s="9">
        <v>0</v>
      </c>
      <c r="L108" s="9">
        <v>0</v>
      </c>
      <c r="M108" s="10">
        <v>12</v>
      </c>
      <c r="N108" s="10">
        <v>86</v>
      </c>
      <c r="O108" s="24">
        <f t="shared" si="4"/>
        <v>30</v>
      </c>
      <c r="P108" s="22">
        <f>((alpha*(beta^speed))*(speed^ceta))</f>
        <v>12.361030303544879</v>
      </c>
    </row>
    <row r="109" spans="1:16" x14ac:dyDescent="0.25">
      <c r="A109" s="9" t="s">
        <v>11</v>
      </c>
      <c r="B109" s="9" t="s">
        <v>19</v>
      </c>
      <c r="C109" s="9" t="s">
        <v>93</v>
      </c>
      <c r="D109" s="9" t="s">
        <v>63</v>
      </c>
      <c r="E109" s="9" t="s">
        <v>9</v>
      </c>
      <c r="F109" s="9">
        <v>87.364310759088823</v>
      </c>
      <c r="G109" s="9">
        <v>1.0049051756896112</v>
      </c>
      <c r="H109" s="9">
        <v>-0.68050994033861167</v>
      </c>
      <c r="I109" s="9">
        <v>0</v>
      </c>
      <c r="J109" s="9">
        <v>0</v>
      </c>
      <c r="K109" s="9">
        <v>0</v>
      </c>
      <c r="L109" s="9">
        <v>0</v>
      </c>
      <c r="M109" s="10">
        <v>12</v>
      </c>
      <c r="N109" s="10">
        <v>86</v>
      </c>
      <c r="O109" s="24">
        <f t="shared" si="4"/>
        <v>30</v>
      </c>
      <c r="P109" s="22">
        <f>((alpha*(beta^speed))*(speed^ceta))</f>
        <v>9.9974870221795697</v>
      </c>
    </row>
    <row r="110" spans="1:16" x14ac:dyDescent="0.25">
      <c r="A110" s="9" t="s">
        <v>11</v>
      </c>
      <c r="B110" s="9" t="s">
        <v>19</v>
      </c>
      <c r="C110" s="9" t="s">
        <v>93</v>
      </c>
      <c r="D110" s="9" t="s">
        <v>90</v>
      </c>
      <c r="E110" s="9" t="s">
        <v>94</v>
      </c>
      <c r="F110" s="9">
        <v>4.3764938137922762</v>
      </c>
      <c r="G110" s="9">
        <v>70.858476245077256</v>
      </c>
      <c r="H110" s="9">
        <v>-0.73262984565321587</v>
      </c>
      <c r="I110" s="9">
        <v>0.51185783509420024</v>
      </c>
      <c r="J110" s="9">
        <v>2.9788215360012086E-2</v>
      </c>
      <c r="K110" s="9">
        <v>0</v>
      </c>
      <c r="L110" s="9">
        <v>0</v>
      </c>
      <c r="M110" s="10">
        <v>12</v>
      </c>
      <c r="N110" s="10">
        <v>86</v>
      </c>
      <c r="O110" s="24">
        <f t="shared" si="4"/>
        <v>30</v>
      </c>
      <c r="P110" s="22">
        <f>(alpha+(beta/(1+EXP((((-1)*ceta)+(delta*LN(speed)))+(epsilon*speed)))))</f>
        <v>6.7386485088185735</v>
      </c>
    </row>
    <row r="111" spans="1:16" x14ac:dyDescent="0.25">
      <c r="A111" s="9" t="s">
        <v>11</v>
      </c>
      <c r="B111" s="9" t="s">
        <v>19</v>
      </c>
      <c r="C111" s="9" t="s">
        <v>93</v>
      </c>
      <c r="D111" s="9" t="s">
        <v>64</v>
      </c>
      <c r="E111" s="9" t="s">
        <v>94</v>
      </c>
      <c r="F111" s="9">
        <v>2.5744157781219181</v>
      </c>
      <c r="G111" s="9">
        <v>24.917622276871811</v>
      </c>
      <c r="H111" s="9">
        <v>8.5110911567134864E-2</v>
      </c>
      <c r="I111" s="9">
        <v>0.60649834253256474</v>
      </c>
      <c r="J111" s="9">
        <v>2.7086769128099004E-2</v>
      </c>
      <c r="K111" s="9">
        <v>0</v>
      </c>
      <c r="L111" s="9">
        <v>0</v>
      </c>
      <c r="M111" s="10">
        <v>12</v>
      </c>
      <c r="N111" s="10">
        <v>86</v>
      </c>
      <c r="O111" s="24">
        <f t="shared" si="4"/>
        <v>30</v>
      </c>
      <c r="P111" s="22">
        <f>(alpha+(beta/(1+EXP((((-1)*ceta)+(delta*LN(speed)))+(epsilon*speed)))))</f>
        <v>4.0158979276528122</v>
      </c>
    </row>
    <row r="112" spans="1:16" x14ac:dyDescent="0.25">
      <c r="A112" s="9" t="s">
        <v>11</v>
      </c>
      <c r="B112" s="9" t="s">
        <v>19</v>
      </c>
      <c r="C112" s="9" t="s">
        <v>93</v>
      </c>
      <c r="D112" s="9" t="s">
        <v>65</v>
      </c>
      <c r="E112" s="9" t="s">
        <v>9</v>
      </c>
      <c r="F112" s="9">
        <v>66.986173083144152</v>
      </c>
      <c r="G112" s="9">
        <v>0.97488707705105615</v>
      </c>
      <c r="H112" s="9">
        <v>-0.39946714256866722</v>
      </c>
      <c r="I112" s="9">
        <v>0</v>
      </c>
      <c r="J112" s="9">
        <v>0</v>
      </c>
      <c r="K112" s="9">
        <v>0</v>
      </c>
      <c r="L112" s="9">
        <v>0</v>
      </c>
      <c r="M112" s="10">
        <v>12</v>
      </c>
      <c r="N112" s="10">
        <v>86</v>
      </c>
      <c r="O112" s="24">
        <f t="shared" si="4"/>
        <v>30</v>
      </c>
      <c r="P112" s="22">
        <f>((alpha*(beta^speed))*(speed^ceta))</f>
        <v>8.0269981911795281</v>
      </c>
    </row>
    <row r="113" spans="1:16" x14ac:dyDescent="0.25">
      <c r="A113" s="9" t="s">
        <v>11</v>
      </c>
      <c r="B113" s="9" t="s">
        <v>19</v>
      </c>
      <c r="C113" s="9" t="s">
        <v>93</v>
      </c>
      <c r="D113" s="9" t="s">
        <v>66</v>
      </c>
      <c r="E113" s="9" t="s">
        <v>15</v>
      </c>
      <c r="F113" s="9">
        <v>-1.1933746941364674E-2</v>
      </c>
      <c r="G113" s="9">
        <v>8.4035082159798491E-3</v>
      </c>
      <c r="H113" s="9">
        <v>1.4713125423016249</v>
      </c>
      <c r="I113" s="9">
        <v>0</v>
      </c>
      <c r="J113" s="9">
        <v>0</v>
      </c>
      <c r="K113" s="9">
        <v>0</v>
      </c>
      <c r="L113" s="9">
        <v>0</v>
      </c>
      <c r="M113" s="10">
        <v>12</v>
      </c>
      <c r="N113" s="10">
        <v>86</v>
      </c>
      <c r="O113" s="24">
        <f t="shared" si="4"/>
        <v>30</v>
      </c>
      <c r="P113" s="22">
        <f>(1/(alpha+(beta*(speed^ceta))))</f>
        <v>0.80610239402534933</v>
      </c>
    </row>
    <row r="114" spans="1:16" x14ac:dyDescent="0.25">
      <c r="A114" s="9" t="s">
        <v>11</v>
      </c>
      <c r="B114" s="9" t="s">
        <v>10</v>
      </c>
      <c r="C114" s="9" t="s">
        <v>93</v>
      </c>
      <c r="D114" s="9" t="s">
        <v>60</v>
      </c>
      <c r="E114" s="9" t="s">
        <v>9</v>
      </c>
      <c r="F114" s="9">
        <v>97.35840226033649</v>
      </c>
      <c r="G114" s="9">
        <v>1.0065205450014567</v>
      </c>
      <c r="H114" s="9">
        <v>-0.67598181989974571</v>
      </c>
      <c r="I114" s="9">
        <v>0</v>
      </c>
      <c r="J114" s="9">
        <v>0</v>
      </c>
      <c r="K114" s="9">
        <v>0</v>
      </c>
      <c r="L114" s="9">
        <v>0</v>
      </c>
      <c r="M114" s="10">
        <v>12</v>
      </c>
      <c r="N114" s="10">
        <v>86</v>
      </c>
      <c r="O114" s="24">
        <f t="shared" si="4"/>
        <v>30</v>
      </c>
      <c r="P114" s="22">
        <f>((alpha*(beta^speed))*(speed^ceta))</f>
        <v>11.872594824780382</v>
      </c>
    </row>
    <row r="115" spans="1:16" x14ac:dyDescent="0.25">
      <c r="A115" s="9" t="s">
        <v>11</v>
      </c>
      <c r="B115" s="9" t="s">
        <v>10</v>
      </c>
      <c r="C115" s="9" t="s">
        <v>93</v>
      </c>
      <c r="D115" s="9" t="s">
        <v>61</v>
      </c>
      <c r="E115" s="9" t="s">
        <v>94</v>
      </c>
      <c r="F115" s="9">
        <v>4.8369639753709102</v>
      </c>
      <c r="G115" s="9">
        <v>48.901370434889564</v>
      </c>
      <c r="H115" s="9">
        <v>0.13495834594987233</v>
      </c>
      <c r="I115" s="9">
        <v>0.58630200415032874</v>
      </c>
      <c r="J115" s="9">
        <v>3.8195832558422356E-2</v>
      </c>
      <c r="K115" s="9">
        <v>0</v>
      </c>
      <c r="L115" s="9">
        <v>0</v>
      </c>
      <c r="M115" s="10">
        <v>12</v>
      </c>
      <c r="N115" s="10">
        <v>86</v>
      </c>
      <c r="O115" s="24">
        <f t="shared" si="4"/>
        <v>30</v>
      </c>
      <c r="P115" s="22">
        <f t="shared" ref="P115:P120" si="5">(alpha+(beta/(1+EXP((((-1)*ceta)+(delta*LN(speed)))+(epsilon*speed)))))</f>
        <v>7.1450331257293431</v>
      </c>
    </row>
    <row r="116" spans="1:16" x14ac:dyDescent="0.25">
      <c r="A116" s="9" t="s">
        <v>11</v>
      </c>
      <c r="B116" s="9" t="s">
        <v>10</v>
      </c>
      <c r="C116" s="9" t="s">
        <v>93</v>
      </c>
      <c r="D116" s="9" t="s">
        <v>62</v>
      </c>
      <c r="E116" s="9" t="s">
        <v>94</v>
      </c>
      <c r="F116" s="9">
        <v>4.9622843929839036</v>
      </c>
      <c r="G116" s="9">
        <v>104.44616426935919</v>
      </c>
      <c r="H116" s="9">
        <v>-0.35372794432513521</v>
      </c>
      <c r="I116" s="9">
        <v>0.72592310136499283</v>
      </c>
      <c r="J116" s="9">
        <v>2.4587622916851029E-2</v>
      </c>
      <c r="K116" s="9">
        <v>0</v>
      </c>
      <c r="L116" s="9">
        <v>0</v>
      </c>
      <c r="M116" s="10">
        <v>12</v>
      </c>
      <c r="N116" s="10">
        <v>86</v>
      </c>
      <c r="O116" s="24">
        <f t="shared" si="4"/>
        <v>30</v>
      </c>
      <c r="P116" s="22">
        <f t="shared" si="5"/>
        <v>7.8494507065877599</v>
      </c>
    </row>
    <row r="117" spans="1:16" x14ac:dyDescent="0.25">
      <c r="A117" s="9" t="s">
        <v>11</v>
      </c>
      <c r="B117" s="9" t="s">
        <v>10</v>
      </c>
      <c r="C117" s="9" t="s">
        <v>93</v>
      </c>
      <c r="D117" s="9" t="s">
        <v>63</v>
      </c>
      <c r="E117" s="9" t="s">
        <v>94</v>
      </c>
      <c r="F117" s="9">
        <v>3.7445354093261112</v>
      </c>
      <c r="G117" s="9">
        <v>189.28619610636005</v>
      </c>
      <c r="H117" s="9">
        <v>-1.0633204468676987</v>
      </c>
      <c r="I117" s="9">
        <v>0.72937956698731576</v>
      </c>
      <c r="J117" s="9">
        <v>2.2608102805994745E-2</v>
      </c>
      <c r="K117" s="9">
        <v>0</v>
      </c>
      <c r="L117" s="9">
        <v>0</v>
      </c>
      <c r="M117" s="10">
        <v>12</v>
      </c>
      <c r="N117" s="10">
        <v>86</v>
      </c>
      <c r="O117" s="24">
        <f t="shared" si="4"/>
        <v>30</v>
      </c>
      <c r="P117" s="22">
        <f t="shared" si="5"/>
        <v>6.4802009253358559</v>
      </c>
    </row>
    <row r="118" spans="1:16" x14ac:dyDescent="0.25">
      <c r="A118" s="9" t="s">
        <v>11</v>
      </c>
      <c r="B118" s="9" t="s">
        <v>10</v>
      </c>
      <c r="C118" s="9" t="s">
        <v>93</v>
      </c>
      <c r="D118" s="9" t="s">
        <v>90</v>
      </c>
      <c r="E118" s="9" t="s">
        <v>94</v>
      </c>
      <c r="F118" s="9">
        <v>2.6823354364594105</v>
      </c>
      <c r="G118" s="9">
        <v>42.752648245812111</v>
      </c>
      <c r="H118" s="9">
        <v>4.2550129873680446E-2</v>
      </c>
      <c r="I118" s="9">
        <v>0.81546875494095739</v>
      </c>
      <c r="J118" s="9">
        <v>1.7491198203253639E-2</v>
      </c>
      <c r="K118" s="9">
        <v>0</v>
      </c>
      <c r="L118" s="9">
        <v>0</v>
      </c>
      <c r="M118" s="10">
        <v>12</v>
      </c>
      <c r="N118" s="10">
        <v>86</v>
      </c>
      <c r="O118" s="24">
        <f t="shared" si="4"/>
        <v>30</v>
      </c>
      <c r="P118" s="22">
        <f t="shared" si="5"/>
        <v>4.2693395259766316</v>
      </c>
    </row>
    <row r="119" spans="1:16" x14ac:dyDescent="0.25">
      <c r="A119" s="9" t="s">
        <v>11</v>
      </c>
      <c r="B119" s="9" t="s">
        <v>10</v>
      </c>
      <c r="C119" s="9" t="s">
        <v>93</v>
      </c>
      <c r="D119" s="9" t="s">
        <v>64</v>
      </c>
      <c r="E119" s="9" t="s">
        <v>94</v>
      </c>
      <c r="F119" s="9">
        <v>1.5735128629447717</v>
      </c>
      <c r="G119" s="9">
        <v>20.997734941443863</v>
      </c>
      <c r="H119" s="9">
        <v>0.36046030769437926</v>
      </c>
      <c r="I119" s="9">
        <v>0.85799893759459545</v>
      </c>
      <c r="J119" s="9">
        <v>1.5602673843250139E-2</v>
      </c>
      <c r="K119" s="9">
        <v>0</v>
      </c>
      <c r="L119" s="9">
        <v>0</v>
      </c>
      <c r="M119" s="10">
        <v>12</v>
      </c>
      <c r="N119" s="10">
        <v>86</v>
      </c>
      <c r="O119" s="24">
        <f t="shared" si="4"/>
        <v>30</v>
      </c>
      <c r="P119" s="22">
        <f t="shared" si="5"/>
        <v>2.5451180538335443</v>
      </c>
    </row>
    <row r="120" spans="1:16" x14ac:dyDescent="0.25">
      <c r="A120" s="9" t="s">
        <v>11</v>
      </c>
      <c r="B120" s="9" t="s">
        <v>10</v>
      </c>
      <c r="C120" s="9" t="s">
        <v>93</v>
      </c>
      <c r="D120" s="9" t="s">
        <v>65</v>
      </c>
      <c r="E120" s="9" t="s">
        <v>94</v>
      </c>
      <c r="F120" s="9">
        <v>-3.9164147105468814</v>
      </c>
      <c r="G120" s="9">
        <v>137.32459299036495</v>
      </c>
      <c r="H120" s="9">
        <v>-0.59005311576565023</v>
      </c>
      <c r="I120" s="9">
        <v>0.55388440241340997</v>
      </c>
      <c r="J120" s="9">
        <v>3.0160839078151162E-3</v>
      </c>
      <c r="K120" s="9">
        <v>0</v>
      </c>
      <c r="L120" s="9">
        <v>0</v>
      </c>
      <c r="M120" s="10">
        <v>12</v>
      </c>
      <c r="N120" s="10">
        <v>86</v>
      </c>
      <c r="O120" s="24">
        <f t="shared" si="4"/>
        <v>30</v>
      </c>
      <c r="P120" s="22">
        <f t="shared" si="5"/>
        <v>5.8974366955277677</v>
      </c>
    </row>
    <row r="121" spans="1:16" x14ac:dyDescent="0.25">
      <c r="A121" s="9" t="s">
        <v>11</v>
      </c>
      <c r="B121" s="9" t="s">
        <v>10</v>
      </c>
      <c r="C121" s="9" t="s">
        <v>93</v>
      </c>
      <c r="D121" s="9" t="s">
        <v>66</v>
      </c>
      <c r="E121" s="9" t="s">
        <v>9</v>
      </c>
      <c r="F121" s="9">
        <v>41.832052447191145</v>
      </c>
      <c r="G121" s="9">
        <v>0.98614581840589188</v>
      </c>
      <c r="H121" s="9">
        <v>-1.0729733268489632</v>
      </c>
      <c r="I121" s="9">
        <v>0</v>
      </c>
      <c r="J121" s="9">
        <v>0</v>
      </c>
      <c r="K121" s="9">
        <v>0</v>
      </c>
      <c r="L121" s="9">
        <v>0</v>
      </c>
      <c r="M121" s="10">
        <v>12</v>
      </c>
      <c r="N121" s="10">
        <v>86</v>
      </c>
      <c r="O121" s="24">
        <f t="shared" si="4"/>
        <v>30</v>
      </c>
      <c r="P121" s="22">
        <f>((alpha*(beta^speed))*(speed^ceta))</f>
        <v>0.71586576177369432</v>
      </c>
    </row>
    <row r="122" spans="1:16" x14ac:dyDescent="0.25">
      <c r="A122" s="9" t="s">
        <v>11</v>
      </c>
      <c r="B122" s="9" t="s">
        <v>18</v>
      </c>
      <c r="C122" s="9" t="s">
        <v>93</v>
      </c>
      <c r="D122" s="9" t="s">
        <v>60</v>
      </c>
      <c r="E122" s="9" t="s">
        <v>9</v>
      </c>
      <c r="F122" s="9">
        <v>80.838310792016671</v>
      </c>
      <c r="G122" s="9">
        <v>1.0025763156794762</v>
      </c>
      <c r="H122" s="9">
        <v>-0.55141869687502265</v>
      </c>
      <c r="I122" s="9">
        <v>0</v>
      </c>
      <c r="J122" s="9">
        <v>0</v>
      </c>
      <c r="K122" s="9">
        <v>0</v>
      </c>
      <c r="L122" s="9">
        <v>0</v>
      </c>
      <c r="M122" s="10">
        <v>12</v>
      </c>
      <c r="N122" s="10">
        <v>86</v>
      </c>
      <c r="O122" s="24">
        <f t="shared" si="4"/>
        <v>30</v>
      </c>
      <c r="P122" s="22">
        <f>((alpha*(beta^speed))*(speed^ceta))</f>
        <v>13.385302125034601</v>
      </c>
    </row>
    <row r="123" spans="1:16" x14ac:dyDescent="0.25">
      <c r="A123" s="9" t="s">
        <v>11</v>
      </c>
      <c r="B123" s="9" t="s">
        <v>18</v>
      </c>
      <c r="C123" s="9" t="s">
        <v>93</v>
      </c>
      <c r="D123" s="9" t="s">
        <v>61</v>
      </c>
      <c r="E123" s="9" t="s">
        <v>9</v>
      </c>
      <c r="F123" s="9">
        <v>66.393139500172026</v>
      </c>
      <c r="G123" s="9">
        <v>1.0031780983697163</v>
      </c>
      <c r="H123" s="9">
        <v>-0.59446987653426719</v>
      </c>
      <c r="I123" s="9">
        <v>0</v>
      </c>
      <c r="J123" s="9">
        <v>0</v>
      </c>
      <c r="K123" s="9">
        <v>0</v>
      </c>
      <c r="L123" s="9">
        <v>0</v>
      </c>
      <c r="M123" s="10">
        <v>12</v>
      </c>
      <c r="N123" s="10">
        <v>86</v>
      </c>
      <c r="O123" s="24">
        <f t="shared" si="4"/>
        <v>30</v>
      </c>
      <c r="P123" s="22">
        <f>((alpha*(beta^speed))*(speed^ceta))</f>
        <v>9.6685283383895104</v>
      </c>
    </row>
    <row r="124" spans="1:16" x14ac:dyDescent="0.25">
      <c r="A124" s="9" t="s">
        <v>11</v>
      </c>
      <c r="B124" s="9" t="s">
        <v>18</v>
      </c>
      <c r="C124" s="9" t="s">
        <v>93</v>
      </c>
      <c r="D124" s="9" t="s">
        <v>62</v>
      </c>
      <c r="E124" s="9" t="s">
        <v>9</v>
      </c>
      <c r="F124" s="9">
        <v>72.949209380911299</v>
      </c>
      <c r="G124" s="9">
        <v>1.0030203804072448</v>
      </c>
      <c r="H124" s="9">
        <v>-0.60214751381294163</v>
      </c>
      <c r="I124" s="9">
        <v>0</v>
      </c>
      <c r="J124" s="9">
        <v>0</v>
      </c>
      <c r="K124" s="9">
        <v>0</v>
      </c>
      <c r="L124" s="9">
        <v>0</v>
      </c>
      <c r="M124" s="10">
        <v>12</v>
      </c>
      <c r="N124" s="10">
        <v>86</v>
      </c>
      <c r="O124" s="24">
        <f t="shared" si="4"/>
        <v>30</v>
      </c>
      <c r="P124" s="22">
        <f>((alpha*(beta^speed))*(speed^ceta))</f>
        <v>10.300739990586912</v>
      </c>
    </row>
    <row r="125" spans="1:16" x14ac:dyDescent="0.25">
      <c r="A125" s="9" t="s">
        <v>11</v>
      </c>
      <c r="B125" s="9" t="s">
        <v>18</v>
      </c>
      <c r="C125" s="9" t="s">
        <v>93</v>
      </c>
      <c r="D125" s="9" t="s">
        <v>63</v>
      </c>
      <c r="E125" s="9" t="s">
        <v>94</v>
      </c>
      <c r="F125" s="9">
        <v>2.6836001440996315</v>
      </c>
      <c r="G125" s="9">
        <v>151.77608556574339</v>
      </c>
      <c r="H125" s="9">
        <v>-0.43122470718460459</v>
      </c>
      <c r="I125" s="9">
        <v>0.8184398453948396</v>
      </c>
      <c r="J125" s="9">
        <v>9.1873010050118591E-4</v>
      </c>
      <c r="K125" s="9">
        <v>0</v>
      </c>
      <c r="L125" s="9">
        <v>0</v>
      </c>
      <c r="M125" s="10">
        <v>12</v>
      </c>
      <c r="N125" s="10">
        <v>86</v>
      </c>
      <c r="O125" s="24">
        <f t="shared" si="4"/>
        <v>30</v>
      </c>
      <c r="P125" s="22">
        <f>(alpha+(beta/(1+EXP((((-1)*ceta)+(delta*LN(speed)))+(epsilon*speed)))))</f>
        <v>8.3901834916245122</v>
      </c>
    </row>
    <row r="126" spans="1:16" x14ac:dyDescent="0.25">
      <c r="A126" s="9" t="s">
        <v>11</v>
      </c>
      <c r="B126" s="9" t="s">
        <v>18</v>
      </c>
      <c r="C126" s="9" t="s">
        <v>93</v>
      </c>
      <c r="D126" s="9" t="s">
        <v>90</v>
      </c>
      <c r="E126" s="9" t="s">
        <v>94</v>
      </c>
      <c r="F126" s="9">
        <v>2.027468908644479</v>
      </c>
      <c r="G126" s="9">
        <v>51.945463760387298</v>
      </c>
      <c r="H126" s="9">
        <v>2.8312583339493561E-2</v>
      </c>
      <c r="I126" s="9">
        <v>0.76365593619732719</v>
      </c>
      <c r="J126" s="9">
        <v>9.8934766510649225E-4</v>
      </c>
      <c r="K126" s="9">
        <v>0</v>
      </c>
      <c r="L126" s="9">
        <v>0</v>
      </c>
      <c r="M126" s="10">
        <v>12</v>
      </c>
      <c r="N126" s="10">
        <v>86</v>
      </c>
      <c r="O126" s="24">
        <f t="shared" si="4"/>
        <v>30</v>
      </c>
      <c r="P126" s="22">
        <f>(alpha+(beta/(1+EXP((((-1)*ceta)+(delta*LN(speed)))+(epsilon*speed)))))</f>
        <v>5.6232031514685366</v>
      </c>
    </row>
    <row r="127" spans="1:16" x14ac:dyDescent="0.25">
      <c r="A127" s="9" t="s">
        <v>11</v>
      </c>
      <c r="B127" s="9" t="s">
        <v>18</v>
      </c>
      <c r="C127" s="9" t="s">
        <v>93</v>
      </c>
      <c r="D127" s="9" t="s">
        <v>64</v>
      </c>
      <c r="E127" s="9" t="s">
        <v>9</v>
      </c>
      <c r="F127" s="9">
        <v>20.118377140234859</v>
      </c>
      <c r="G127" s="9">
        <v>1.0023356227769193</v>
      </c>
      <c r="H127" s="9">
        <v>-0.5472064077465294</v>
      </c>
      <c r="I127" s="9">
        <v>0</v>
      </c>
      <c r="J127" s="9">
        <v>0</v>
      </c>
      <c r="K127" s="9">
        <v>0</v>
      </c>
      <c r="L127" s="9">
        <v>0</v>
      </c>
      <c r="M127" s="10">
        <v>12</v>
      </c>
      <c r="N127" s="10">
        <v>86</v>
      </c>
      <c r="O127" s="24">
        <f t="shared" si="4"/>
        <v>30</v>
      </c>
      <c r="P127" s="22">
        <f>((alpha*(beta^speed))*(speed^ceta))</f>
        <v>3.3550399071379839</v>
      </c>
    </row>
    <row r="128" spans="1:16" x14ac:dyDescent="0.25">
      <c r="A128" s="9" t="s">
        <v>11</v>
      </c>
      <c r="B128" s="9" t="s">
        <v>18</v>
      </c>
      <c r="C128" s="9" t="s">
        <v>93</v>
      </c>
      <c r="D128" s="9" t="s">
        <v>65</v>
      </c>
      <c r="E128" s="9" t="s">
        <v>94</v>
      </c>
      <c r="F128" s="9">
        <v>-0.67670222985543782</v>
      </c>
      <c r="G128" s="9">
        <v>173.70594028772351</v>
      </c>
      <c r="H128" s="9">
        <v>-0.71608886743532274</v>
      </c>
      <c r="I128" s="9">
        <v>0.5454881574126319</v>
      </c>
      <c r="J128" s="9">
        <v>1.6351113298598393E-2</v>
      </c>
      <c r="K128" s="9">
        <v>0</v>
      </c>
      <c r="L128" s="9">
        <v>0</v>
      </c>
      <c r="M128" s="10">
        <v>12</v>
      </c>
      <c r="N128" s="10">
        <v>86</v>
      </c>
      <c r="O128" s="24">
        <f t="shared" si="4"/>
        <v>30</v>
      </c>
      <c r="P128" s="22">
        <f>(alpha+(beta/(1+EXP((((-1)*ceta)+(delta*LN(speed)))+(epsilon*speed)))))</f>
        <v>7.0888194716985016</v>
      </c>
    </row>
    <row r="129" spans="1:16" x14ac:dyDescent="0.25">
      <c r="A129" s="9" t="s">
        <v>11</v>
      </c>
      <c r="B129" s="9" t="s">
        <v>18</v>
      </c>
      <c r="C129" s="9" t="s">
        <v>93</v>
      </c>
      <c r="D129" s="9" t="s">
        <v>66</v>
      </c>
      <c r="E129" s="9" t="s">
        <v>9</v>
      </c>
      <c r="F129" s="9">
        <v>96.516454261365524</v>
      </c>
      <c r="G129" s="9">
        <v>0.99601205175502994</v>
      </c>
      <c r="H129" s="9">
        <v>-1.392697063686122</v>
      </c>
      <c r="I129" s="9">
        <v>0</v>
      </c>
      <c r="J129" s="9">
        <v>0</v>
      </c>
      <c r="K129" s="9">
        <v>0</v>
      </c>
      <c r="L129" s="9">
        <v>0</v>
      </c>
      <c r="M129" s="10">
        <v>12</v>
      </c>
      <c r="N129" s="10">
        <v>86</v>
      </c>
      <c r="O129" s="24">
        <f t="shared" si="4"/>
        <v>30</v>
      </c>
      <c r="P129" s="22">
        <f>((alpha*(beta^speed))*(speed^ceta))</f>
        <v>0.75051042173164162</v>
      </c>
    </row>
    <row r="130" spans="1:16" x14ac:dyDescent="0.25">
      <c r="A130" s="9" t="s">
        <v>11</v>
      </c>
      <c r="B130" s="9" t="s">
        <v>17</v>
      </c>
      <c r="C130" s="9" t="s">
        <v>93</v>
      </c>
      <c r="D130" s="9" t="s">
        <v>60</v>
      </c>
      <c r="E130" s="9" t="s">
        <v>9</v>
      </c>
      <c r="F130" s="9">
        <v>77.858661467283923</v>
      </c>
      <c r="G130" s="9">
        <v>1.0013889682011681</v>
      </c>
      <c r="H130" s="9">
        <v>-0.5106018678768105</v>
      </c>
      <c r="I130" s="9">
        <v>0</v>
      </c>
      <c r="J130" s="9">
        <v>0</v>
      </c>
      <c r="K130" s="9">
        <v>0</v>
      </c>
      <c r="L130" s="9">
        <v>0</v>
      </c>
      <c r="M130" s="10">
        <v>12</v>
      </c>
      <c r="N130" s="10">
        <v>86</v>
      </c>
      <c r="O130" s="24">
        <f t="shared" si="4"/>
        <v>30</v>
      </c>
      <c r="P130" s="22">
        <f>((alpha*(beta^speed))*(speed^ceta))</f>
        <v>14.294538606974035</v>
      </c>
    </row>
    <row r="131" spans="1:16" x14ac:dyDescent="0.25">
      <c r="A131" s="9" t="s">
        <v>11</v>
      </c>
      <c r="B131" s="9" t="s">
        <v>17</v>
      </c>
      <c r="C131" s="9" t="s">
        <v>93</v>
      </c>
      <c r="D131" s="9" t="s">
        <v>61</v>
      </c>
      <c r="E131" s="9" t="s">
        <v>9</v>
      </c>
      <c r="F131" s="9">
        <v>63.737008158285562</v>
      </c>
      <c r="G131" s="9">
        <v>1.0019724277764883</v>
      </c>
      <c r="H131" s="9">
        <v>-0.55452961795379985</v>
      </c>
      <c r="I131" s="9">
        <v>0</v>
      </c>
      <c r="J131" s="9">
        <v>0</v>
      </c>
      <c r="K131" s="9">
        <v>0</v>
      </c>
      <c r="L131" s="9">
        <v>0</v>
      </c>
      <c r="M131" s="10">
        <v>12</v>
      </c>
      <c r="N131" s="10">
        <v>86</v>
      </c>
      <c r="O131" s="24">
        <f t="shared" si="4"/>
        <v>30</v>
      </c>
      <c r="P131" s="22">
        <f>((alpha*(beta^speed))*(speed^ceta))</f>
        <v>10.255511187155973</v>
      </c>
    </row>
    <row r="132" spans="1:16" x14ac:dyDescent="0.25">
      <c r="A132" s="9" t="s">
        <v>11</v>
      </c>
      <c r="B132" s="9" t="s">
        <v>17</v>
      </c>
      <c r="C132" s="9" t="s">
        <v>93</v>
      </c>
      <c r="D132" s="9" t="s">
        <v>62</v>
      </c>
      <c r="E132" s="9" t="s">
        <v>9</v>
      </c>
      <c r="F132" s="9">
        <v>71.003398516214332</v>
      </c>
      <c r="G132" s="9">
        <v>1.0020172716059081</v>
      </c>
      <c r="H132" s="9">
        <v>-0.56986583293492898</v>
      </c>
      <c r="I132" s="9">
        <v>0</v>
      </c>
      <c r="J132" s="9">
        <v>0</v>
      </c>
      <c r="K132" s="9">
        <v>0</v>
      </c>
      <c r="L132" s="9">
        <v>0</v>
      </c>
      <c r="M132" s="10">
        <v>12</v>
      </c>
      <c r="N132" s="10">
        <v>86</v>
      </c>
      <c r="O132" s="24">
        <f t="shared" si="4"/>
        <v>30</v>
      </c>
      <c r="P132" s="22">
        <f>((alpha*(beta^speed))*(speed^ceta))</f>
        <v>10.858614768414105</v>
      </c>
    </row>
    <row r="133" spans="1:16" x14ac:dyDescent="0.25">
      <c r="A133" s="9" t="s">
        <v>11</v>
      </c>
      <c r="B133" s="9" t="s">
        <v>17</v>
      </c>
      <c r="C133" s="9" t="s">
        <v>93</v>
      </c>
      <c r="D133" s="9" t="s">
        <v>63</v>
      </c>
      <c r="E133" s="9" t="s">
        <v>94</v>
      </c>
      <c r="F133" s="9">
        <v>3.435024499605789</v>
      </c>
      <c r="G133" s="9">
        <v>112.0943751654396</v>
      </c>
      <c r="H133" s="9">
        <v>-0.11394494886306142</v>
      </c>
      <c r="I133" s="9">
        <v>0.79868950982088716</v>
      </c>
      <c r="J133" s="9">
        <v>5.1731494156976501E-3</v>
      </c>
      <c r="K133" s="9">
        <v>0</v>
      </c>
      <c r="L133" s="9">
        <v>0</v>
      </c>
      <c r="M133" s="10">
        <v>12</v>
      </c>
      <c r="N133" s="10">
        <v>86</v>
      </c>
      <c r="O133" s="24">
        <f t="shared" si="4"/>
        <v>30</v>
      </c>
      <c r="P133" s="22">
        <f>(alpha+(beta/(1+EXP((((-1)*ceta)+(delta*LN(speed)))+(epsilon*speed)))))</f>
        <v>8.8243917811049783</v>
      </c>
    </row>
    <row r="134" spans="1:16" x14ac:dyDescent="0.25">
      <c r="A134" s="9" t="s">
        <v>11</v>
      </c>
      <c r="B134" s="9" t="s">
        <v>17</v>
      </c>
      <c r="C134" s="9" t="s">
        <v>93</v>
      </c>
      <c r="D134" s="9" t="s">
        <v>90</v>
      </c>
      <c r="E134" s="9" t="s">
        <v>94</v>
      </c>
      <c r="F134" s="9">
        <v>1.5764540411859671</v>
      </c>
      <c r="G134" s="9">
        <v>32.51306652091175</v>
      </c>
      <c r="H134" s="9">
        <v>0.72975224141379524</v>
      </c>
      <c r="I134" s="9">
        <v>0.76466869438505691</v>
      </c>
      <c r="J134" s="9">
        <v>-3.3761544796038963E-4</v>
      </c>
      <c r="K134" s="9">
        <v>0</v>
      </c>
      <c r="L134" s="9">
        <v>0</v>
      </c>
      <c r="M134" s="10">
        <v>12</v>
      </c>
      <c r="N134" s="10">
        <v>86</v>
      </c>
      <c r="O134" s="24">
        <f t="shared" si="4"/>
        <v>30</v>
      </c>
      <c r="P134" s="22">
        <f>(alpha+(beta/(1+EXP((((-1)*ceta)+(delta*LN(speed)))+(epsilon*speed)))))</f>
        <v>5.9526217292968404</v>
      </c>
    </row>
    <row r="135" spans="1:16" x14ac:dyDescent="0.25">
      <c r="A135" s="9" t="s">
        <v>11</v>
      </c>
      <c r="B135" s="9" t="s">
        <v>17</v>
      </c>
      <c r="C135" s="9" t="s">
        <v>93</v>
      </c>
      <c r="D135" s="9" t="s">
        <v>64</v>
      </c>
      <c r="E135" s="9" t="s">
        <v>94</v>
      </c>
      <c r="F135" s="9">
        <v>1.1690770371297818</v>
      </c>
      <c r="G135" s="9">
        <v>23.418192112158042</v>
      </c>
      <c r="H135" s="9">
        <v>0.39533474912723499</v>
      </c>
      <c r="I135" s="9">
        <v>0.7397977109153282</v>
      </c>
      <c r="J135" s="9">
        <v>1.9544029722066494E-3</v>
      </c>
      <c r="K135" s="9">
        <v>0</v>
      </c>
      <c r="L135" s="9">
        <v>0</v>
      </c>
      <c r="M135" s="10">
        <v>12</v>
      </c>
      <c r="N135" s="10">
        <v>86</v>
      </c>
      <c r="O135" s="24">
        <f t="shared" si="4"/>
        <v>30</v>
      </c>
      <c r="P135" s="22">
        <f>(alpha+(beta/(1+EXP((((-1)*ceta)+(delta*LN(speed)))+(epsilon*speed)))))</f>
        <v>3.5485288640660624</v>
      </c>
    </row>
    <row r="136" spans="1:16" x14ac:dyDescent="0.25">
      <c r="A136" s="9" t="s">
        <v>11</v>
      </c>
      <c r="B136" s="9" t="s">
        <v>17</v>
      </c>
      <c r="C136" s="9" t="s">
        <v>93</v>
      </c>
      <c r="D136" s="9" t="s">
        <v>65</v>
      </c>
      <c r="E136" s="9" t="s">
        <v>9</v>
      </c>
      <c r="F136" s="9">
        <v>64.027634266183966</v>
      </c>
      <c r="G136" s="9">
        <v>0.97629491937089241</v>
      </c>
      <c r="H136" s="9">
        <v>-0.44291957609397692</v>
      </c>
      <c r="I136" s="9">
        <v>0</v>
      </c>
      <c r="J136" s="9">
        <v>0</v>
      </c>
      <c r="K136" s="9">
        <v>0</v>
      </c>
      <c r="L136" s="9">
        <v>0</v>
      </c>
      <c r="M136" s="10">
        <v>12</v>
      </c>
      <c r="N136" s="10">
        <v>86</v>
      </c>
      <c r="O136" s="24">
        <f t="shared" si="4"/>
        <v>30</v>
      </c>
      <c r="P136" s="22">
        <f t="shared" ref="P136:P144" si="6">((alpha*(beta^speed))*(speed^ceta))</f>
        <v>6.9111833247010646</v>
      </c>
    </row>
    <row r="137" spans="1:16" x14ac:dyDescent="0.25">
      <c r="A137" s="9" t="s">
        <v>11</v>
      </c>
      <c r="B137" s="9" t="s">
        <v>17</v>
      </c>
      <c r="C137" s="9" t="s">
        <v>93</v>
      </c>
      <c r="D137" s="9" t="s">
        <v>66</v>
      </c>
      <c r="E137" s="9" t="s">
        <v>9</v>
      </c>
      <c r="F137" s="9">
        <v>148.89012364646348</v>
      </c>
      <c r="G137" s="9">
        <v>1.0041925171300583</v>
      </c>
      <c r="H137" s="9">
        <v>-1.6266261165271652</v>
      </c>
      <c r="I137" s="9">
        <v>0</v>
      </c>
      <c r="J137" s="9">
        <v>0</v>
      </c>
      <c r="K137" s="9">
        <v>0</v>
      </c>
      <c r="L137" s="9">
        <v>0</v>
      </c>
      <c r="M137" s="10">
        <v>12</v>
      </c>
      <c r="N137" s="10">
        <v>86</v>
      </c>
      <c r="O137" s="24">
        <f t="shared" ref="O137:O153" si="7">IF($O$2&lt;M137,M137,IF($O$2&gt;N137,N137,$O$2))</f>
        <v>30</v>
      </c>
      <c r="P137" s="22">
        <f t="shared" si="6"/>
        <v>0.66780752096654794</v>
      </c>
    </row>
    <row r="138" spans="1:16" x14ac:dyDescent="0.25">
      <c r="A138" s="9" t="s">
        <v>11</v>
      </c>
      <c r="B138" s="9" t="s">
        <v>16</v>
      </c>
      <c r="C138" s="9" t="s">
        <v>93</v>
      </c>
      <c r="D138" s="9" t="s">
        <v>60</v>
      </c>
      <c r="E138" s="9" t="s">
        <v>9</v>
      </c>
      <c r="F138" s="9">
        <v>87.868012628481495</v>
      </c>
      <c r="G138" s="9">
        <v>1.0004321709725346</v>
      </c>
      <c r="H138" s="9">
        <v>-0.49446572626239899</v>
      </c>
      <c r="I138" s="9">
        <v>0</v>
      </c>
      <c r="J138" s="9">
        <v>0</v>
      </c>
      <c r="K138" s="9">
        <v>0</v>
      </c>
      <c r="L138" s="9">
        <v>0</v>
      </c>
      <c r="M138" s="10">
        <v>12</v>
      </c>
      <c r="N138" s="10">
        <v>86</v>
      </c>
      <c r="O138" s="24">
        <f t="shared" si="7"/>
        <v>30</v>
      </c>
      <c r="P138" s="22">
        <f t="shared" si="6"/>
        <v>16.560537845030485</v>
      </c>
    </row>
    <row r="139" spans="1:16" x14ac:dyDescent="0.25">
      <c r="A139" s="9" t="s">
        <v>11</v>
      </c>
      <c r="B139" s="9" t="s">
        <v>16</v>
      </c>
      <c r="C139" s="9" t="s">
        <v>93</v>
      </c>
      <c r="D139" s="9" t="s">
        <v>61</v>
      </c>
      <c r="E139" s="9" t="s">
        <v>9</v>
      </c>
      <c r="F139" s="9">
        <v>71.183938554146138</v>
      </c>
      <c r="G139" s="9">
        <v>1.0013131376686402</v>
      </c>
      <c r="H139" s="9">
        <v>-0.54095271929118305</v>
      </c>
      <c r="I139" s="9">
        <v>0</v>
      </c>
      <c r="J139" s="9">
        <v>0</v>
      </c>
      <c r="K139" s="9">
        <v>0</v>
      </c>
      <c r="L139" s="9">
        <v>0</v>
      </c>
      <c r="M139" s="10">
        <v>12</v>
      </c>
      <c r="N139" s="10">
        <v>86</v>
      </c>
      <c r="O139" s="24">
        <f t="shared" si="7"/>
        <v>30</v>
      </c>
      <c r="P139" s="22">
        <f t="shared" si="6"/>
        <v>11.760524315538943</v>
      </c>
    </row>
    <row r="140" spans="1:16" x14ac:dyDescent="0.25">
      <c r="A140" s="9" t="s">
        <v>11</v>
      </c>
      <c r="B140" s="9" t="s">
        <v>16</v>
      </c>
      <c r="C140" s="9" t="s">
        <v>93</v>
      </c>
      <c r="D140" s="9" t="s">
        <v>62</v>
      </c>
      <c r="E140" s="9" t="s">
        <v>9</v>
      </c>
      <c r="F140" s="9">
        <v>83.438785453964613</v>
      </c>
      <c r="G140" s="9">
        <v>1.0017013648865791</v>
      </c>
      <c r="H140" s="9">
        <v>-0.56940060741421039</v>
      </c>
      <c r="I140" s="9">
        <v>0</v>
      </c>
      <c r="J140" s="9">
        <v>0</v>
      </c>
      <c r="K140" s="9">
        <v>0</v>
      </c>
      <c r="L140" s="9">
        <v>0</v>
      </c>
      <c r="M140" s="10">
        <v>12</v>
      </c>
      <c r="N140" s="10">
        <v>86</v>
      </c>
      <c r="O140" s="24">
        <f t="shared" si="7"/>
        <v>30</v>
      </c>
      <c r="P140" s="22">
        <f t="shared" si="6"/>
        <v>12.660247619887457</v>
      </c>
    </row>
    <row r="141" spans="1:16" x14ac:dyDescent="0.25">
      <c r="A141" s="9" t="s">
        <v>11</v>
      </c>
      <c r="B141" s="9" t="s">
        <v>16</v>
      </c>
      <c r="C141" s="9" t="s">
        <v>93</v>
      </c>
      <c r="D141" s="9" t="s">
        <v>63</v>
      </c>
      <c r="E141" s="9" t="s">
        <v>9</v>
      </c>
      <c r="F141" s="9">
        <v>79.997419714896921</v>
      </c>
      <c r="G141" s="9">
        <v>1.0028395252649025</v>
      </c>
      <c r="H141" s="9">
        <v>-0.62977466491390988</v>
      </c>
      <c r="I141" s="9">
        <v>0</v>
      </c>
      <c r="J141" s="9">
        <v>0</v>
      </c>
      <c r="K141" s="9">
        <v>0</v>
      </c>
      <c r="L141" s="9">
        <v>0</v>
      </c>
      <c r="M141" s="10">
        <v>12</v>
      </c>
      <c r="N141" s="10">
        <v>86</v>
      </c>
      <c r="O141" s="24">
        <f t="shared" si="7"/>
        <v>30</v>
      </c>
      <c r="P141" s="22">
        <f t="shared" si="6"/>
        <v>10.227411136492114</v>
      </c>
    </row>
    <row r="142" spans="1:16" x14ac:dyDescent="0.25">
      <c r="A142" s="9" t="s">
        <v>11</v>
      </c>
      <c r="B142" s="9" t="s">
        <v>16</v>
      </c>
      <c r="C142" s="9" t="s">
        <v>93</v>
      </c>
      <c r="D142" s="9" t="s">
        <v>90</v>
      </c>
      <c r="E142" s="9" t="s">
        <v>9</v>
      </c>
      <c r="F142" s="9">
        <v>38.575389375591911</v>
      </c>
      <c r="G142" s="9">
        <v>1.0019236790785968</v>
      </c>
      <c r="H142" s="9">
        <v>-0.52423778020778578</v>
      </c>
      <c r="I142" s="9">
        <v>0</v>
      </c>
      <c r="J142" s="9">
        <v>0</v>
      </c>
      <c r="K142" s="9">
        <v>0</v>
      </c>
      <c r="L142" s="9">
        <v>0</v>
      </c>
      <c r="M142" s="10">
        <v>12</v>
      </c>
      <c r="N142" s="10">
        <v>86</v>
      </c>
      <c r="O142" s="24">
        <f t="shared" si="7"/>
        <v>30</v>
      </c>
      <c r="P142" s="22">
        <f t="shared" si="6"/>
        <v>6.8704751172207859</v>
      </c>
    </row>
    <row r="143" spans="1:16" x14ac:dyDescent="0.25">
      <c r="A143" s="9" t="s">
        <v>11</v>
      </c>
      <c r="B143" s="9" t="s">
        <v>16</v>
      </c>
      <c r="C143" s="9" t="s">
        <v>93</v>
      </c>
      <c r="D143" s="9" t="s">
        <v>64</v>
      </c>
      <c r="E143" s="9" t="s">
        <v>9</v>
      </c>
      <c r="F143" s="9">
        <v>23.049938091415903</v>
      </c>
      <c r="G143" s="9">
        <v>1.0017915479769772</v>
      </c>
      <c r="H143" s="9">
        <v>-0.52362169466269104</v>
      </c>
      <c r="I143" s="9">
        <v>0</v>
      </c>
      <c r="J143" s="9">
        <v>0</v>
      </c>
      <c r="K143" s="9">
        <v>0</v>
      </c>
      <c r="L143" s="9">
        <v>0</v>
      </c>
      <c r="M143" s="10">
        <v>12</v>
      </c>
      <c r="N143" s="10">
        <v>86</v>
      </c>
      <c r="O143" s="24">
        <f t="shared" si="7"/>
        <v>30</v>
      </c>
      <c r="P143" s="22">
        <f t="shared" si="6"/>
        <v>4.0976789301289269</v>
      </c>
    </row>
    <row r="144" spans="1:16" x14ac:dyDescent="0.25">
      <c r="A144" s="9" t="s">
        <v>11</v>
      </c>
      <c r="B144" s="9" t="s">
        <v>16</v>
      </c>
      <c r="C144" s="9" t="s">
        <v>93</v>
      </c>
      <c r="D144" s="9" t="s">
        <v>65</v>
      </c>
      <c r="E144" s="9" t="s">
        <v>9</v>
      </c>
      <c r="F144" s="9">
        <v>79.573506121443899</v>
      </c>
      <c r="G144" s="9">
        <v>0.97696772062210135</v>
      </c>
      <c r="H144" s="9">
        <v>-0.47261242547589216</v>
      </c>
      <c r="I144" s="9">
        <v>0</v>
      </c>
      <c r="J144" s="9">
        <v>0</v>
      </c>
      <c r="K144" s="9">
        <v>0</v>
      </c>
      <c r="L144" s="9">
        <v>0</v>
      </c>
      <c r="M144" s="10">
        <v>12</v>
      </c>
      <c r="N144" s="10">
        <v>86</v>
      </c>
      <c r="O144" s="24">
        <f t="shared" si="7"/>
        <v>30</v>
      </c>
      <c r="P144" s="22">
        <f t="shared" si="6"/>
        <v>7.9262739109924913</v>
      </c>
    </row>
    <row r="145" spans="1:16" x14ac:dyDescent="0.25">
      <c r="A145" s="9" t="s">
        <v>11</v>
      </c>
      <c r="B145" s="9" t="s">
        <v>16</v>
      </c>
      <c r="C145" s="9" t="s">
        <v>93</v>
      </c>
      <c r="D145" s="9" t="s">
        <v>66</v>
      </c>
      <c r="E145" s="9" t="s">
        <v>15</v>
      </c>
      <c r="F145" s="9">
        <v>-7.9852161024111398E-2</v>
      </c>
      <c r="G145" s="9">
        <v>1.3317376918505815E-2</v>
      </c>
      <c r="H145" s="9">
        <v>1.3670153102554006</v>
      </c>
      <c r="I145" s="9">
        <v>0</v>
      </c>
      <c r="J145" s="9">
        <v>0</v>
      </c>
      <c r="K145" s="9">
        <v>0</v>
      </c>
      <c r="L145" s="9">
        <v>0</v>
      </c>
      <c r="M145" s="10">
        <v>12</v>
      </c>
      <c r="N145" s="10">
        <v>86</v>
      </c>
      <c r="O145" s="24">
        <f t="shared" si="7"/>
        <v>30</v>
      </c>
      <c r="P145" s="22">
        <f>(1/(alpha+(beta*(speed^ceta))))</f>
        <v>0.76205930667831134</v>
      </c>
    </row>
    <row r="146" spans="1:16" x14ac:dyDescent="0.25">
      <c r="A146" s="9" t="s">
        <v>11</v>
      </c>
      <c r="B146" s="9" t="s">
        <v>14</v>
      </c>
      <c r="C146" s="9" t="s">
        <v>93</v>
      </c>
      <c r="D146" s="9" t="s">
        <v>60</v>
      </c>
      <c r="E146" s="9" t="s">
        <v>95</v>
      </c>
      <c r="F146" s="9">
        <v>4.6472195045531528</v>
      </c>
      <c r="G146" s="9">
        <v>-0.82345252580227912</v>
      </c>
      <c r="H146" s="9">
        <v>-0.49849778750150642</v>
      </c>
      <c r="I146" s="9">
        <v>0</v>
      </c>
      <c r="J146" s="9">
        <v>0</v>
      </c>
      <c r="K146" s="9">
        <v>0</v>
      </c>
      <c r="L146" s="9">
        <v>0</v>
      </c>
      <c r="M146" s="10">
        <v>12</v>
      </c>
      <c r="N146" s="10">
        <v>86</v>
      </c>
      <c r="O146" s="24">
        <f t="shared" si="7"/>
        <v>30</v>
      </c>
      <c r="P146" s="22">
        <f>EXP((alpha+(beta/speed))+(ceta*LN(speed)))</f>
        <v>18.620846215611067</v>
      </c>
    </row>
    <row r="147" spans="1:16" x14ac:dyDescent="0.25">
      <c r="A147" s="9" t="s">
        <v>11</v>
      </c>
      <c r="B147" s="9" t="s">
        <v>14</v>
      </c>
      <c r="C147" s="9" t="s">
        <v>93</v>
      </c>
      <c r="D147" s="9" t="s">
        <v>61</v>
      </c>
      <c r="E147" s="9" t="s">
        <v>9</v>
      </c>
      <c r="F147" s="9">
        <v>69.880131019143036</v>
      </c>
      <c r="G147" s="9">
        <v>1.0003525983756476</v>
      </c>
      <c r="H147" s="9">
        <v>-0.49571313727439542</v>
      </c>
      <c r="I147" s="9">
        <v>0</v>
      </c>
      <c r="J147" s="9">
        <v>0</v>
      </c>
      <c r="K147" s="9">
        <v>0</v>
      </c>
      <c r="L147" s="9">
        <v>0</v>
      </c>
      <c r="M147" s="10">
        <v>12</v>
      </c>
      <c r="N147" s="10">
        <v>86</v>
      </c>
      <c r="O147" s="24">
        <f t="shared" si="7"/>
        <v>30</v>
      </c>
      <c r="P147" s="22">
        <f>((alpha*(beta^speed))*(speed^ceta))</f>
        <v>13.083334208480595</v>
      </c>
    </row>
    <row r="148" spans="1:16" x14ac:dyDescent="0.25">
      <c r="A148" s="9" t="s">
        <v>11</v>
      </c>
      <c r="B148" s="9" t="s">
        <v>14</v>
      </c>
      <c r="C148" s="9" t="s">
        <v>93</v>
      </c>
      <c r="D148" s="9" t="s">
        <v>62</v>
      </c>
      <c r="E148" s="9" t="s">
        <v>9</v>
      </c>
      <c r="F148" s="9">
        <v>85.034660751742891</v>
      </c>
      <c r="G148" s="9">
        <v>1.0010141261684915</v>
      </c>
      <c r="H148" s="9">
        <v>-0.53920799664783958</v>
      </c>
      <c r="I148" s="9">
        <v>0</v>
      </c>
      <c r="J148" s="9">
        <v>0</v>
      </c>
      <c r="K148" s="9">
        <v>0</v>
      </c>
      <c r="L148" s="9">
        <v>0</v>
      </c>
      <c r="M148" s="10">
        <v>12</v>
      </c>
      <c r="N148" s="10">
        <v>86</v>
      </c>
      <c r="O148" s="24">
        <f t="shared" si="7"/>
        <v>30</v>
      </c>
      <c r="P148" s="22">
        <f>((alpha*(beta^speed))*(speed^ceta))</f>
        <v>14.006401698096273</v>
      </c>
    </row>
    <row r="149" spans="1:16" x14ac:dyDescent="0.25">
      <c r="A149" s="9" t="s">
        <v>11</v>
      </c>
      <c r="B149" s="9" t="s">
        <v>14</v>
      </c>
      <c r="C149" s="9" t="s">
        <v>93</v>
      </c>
      <c r="D149" s="9" t="s">
        <v>63</v>
      </c>
      <c r="E149" s="9" t="s">
        <v>9</v>
      </c>
      <c r="F149" s="9">
        <v>79.989142134783975</v>
      </c>
      <c r="G149" s="9">
        <v>1.0020089252742679</v>
      </c>
      <c r="H149" s="9">
        <v>-0.5927132420997655</v>
      </c>
      <c r="I149" s="9">
        <v>0</v>
      </c>
      <c r="J149" s="9">
        <v>0</v>
      </c>
      <c r="K149" s="9">
        <v>0</v>
      </c>
      <c r="L149" s="9">
        <v>0</v>
      </c>
      <c r="M149" s="10">
        <v>12</v>
      </c>
      <c r="N149" s="10">
        <v>86</v>
      </c>
      <c r="O149" s="24">
        <f t="shared" si="7"/>
        <v>30</v>
      </c>
      <c r="P149" s="22">
        <f>((alpha*(beta^speed))*(speed^ceta))</f>
        <v>11.315386961809839</v>
      </c>
    </row>
    <row r="150" spans="1:16" x14ac:dyDescent="0.25">
      <c r="A150" s="9" t="s">
        <v>11</v>
      </c>
      <c r="B150" s="9" t="s">
        <v>14</v>
      </c>
      <c r="C150" s="9" t="s">
        <v>93</v>
      </c>
      <c r="D150" s="9" t="s">
        <v>90</v>
      </c>
      <c r="E150" s="9" t="s">
        <v>12</v>
      </c>
      <c r="F150" s="9">
        <v>-3.7873477366700803E-5</v>
      </c>
      <c r="G150" s="9">
        <v>7.0689506316062856E-3</v>
      </c>
      <c r="H150" s="9">
        <v>-0.46438502546223615</v>
      </c>
      <c r="I150" s="9">
        <v>16.25250067415428</v>
      </c>
      <c r="J150" s="9">
        <v>0</v>
      </c>
      <c r="K150" s="9">
        <v>0</v>
      </c>
      <c r="L150" s="9">
        <v>0</v>
      </c>
      <c r="M150" s="10">
        <v>12</v>
      </c>
      <c r="N150" s="10">
        <v>86</v>
      </c>
      <c r="O150" s="24">
        <f t="shared" si="7"/>
        <v>30</v>
      </c>
      <c r="P150" s="22">
        <f>(((alpha*(speed^3))+(beta*(speed^2))+(ceta*speed))+delta)</f>
        <v>7.6604215898319303</v>
      </c>
    </row>
    <row r="151" spans="1:16" x14ac:dyDescent="0.25">
      <c r="A151" s="9" t="s">
        <v>11</v>
      </c>
      <c r="B151" s="9" t="s">
        <v>14</v>
      </c>
      <c r="C151" s="9" t="s">
        <v>93</v>
      </c>
      <c r="D151" s="9" t="s">
        <v>64</v>
      </c>
      <c r="E151" s="9" t="s">
        <v>12</v>
      </c>
      <c r="F151" s="9">
        <v>-2.2907503354794826E-5</v>
      </c>
      <c r="G151" s="9">
        <v>4.2710633185454741E-3</v>
      </c>
      <c r="H151" s="9">
        <v>-0.27997890032152739</v>
      </c>
      <c r="I151" s="9">
        <v>9.7360986575813779</v>
      </c>
      <c r="J151" s="9">
        <v>0</v>
      </c>
      <c r="K151" s="9">
        <v>0</v>
      </c>
      <c r="L151" s="9">
        <v>0</v>
      </c>
      <c r="M151" s="10">
        <v>12</v>
      </c>
      <c r="N151" s="10">
        <v>86</v>
      </c>
      <c r="O151" s="24">
        <f t="shared" si="7"/>
        <v>30</v>
      </c>
      <c r="P151" s="22">
        <f>(((alpha*(speed^3))+(beta*(speed^2))+(ceta*speed))+delta)</f>
        <v>4.5621860440470225</v>
      </c>
    </row>
    <row r="152" spans="1:16" x14ac:dyDescent="0.25">
      <c r="A152" s="9" t="s">
        <v>11</v>
      </c>
      <c r="B152" s="9" t="s">
        <v>14</v>
      </c>
      <c r="C152" s="9" t="s">
        <v>93</v>
      </c>
      <c r="D152" s="9" t="s">
        <v>65</v>
      </c>
      <c r="E152" s="9" t="s">
        <v>94</v>
      </c>
      <c r="F152" s="9">
        <v>0.38100918721466165</v>
      </c>
      <c r="G152" s="9">
        <v>155.78774308789681</v>
      </c>
      <c r="H152" s="9">
        <v>-6.9698302098164605E-2</v>
      </c>
      <c r="I152" s="9">
        <v>0.63223366278218518</v>
      </c>
      <c r="J152" s="9">
        <v>2.5827169222522824E-2</v>
      </c>
      <c r="K152" s="9">
        <v>0</v>
      </c>
      <c r="L152" s="9">
        <v>0</v>
      </c>
      <c r="M152" s="10">
        <v>12</v>
      </c>
      <c r="N152" s="10">
        <v>86</v>
      </c>
      <c r="O152" s="24">
        <f t="shared" si="7"/>
        <v>30</v>
      </c>
      <c r="P152" s="22">
        <f>(alpha+(beta/(1+EXP((((-1)*ceta)+(delta*LN(speed)))+(epsilon*speed)))))</f>
        <v>7.80560402226953</v>
      </c>
    </row>
    <row r="153" spans="1:16" x14ac:dyDescent="0.25">
      <c r="A153" s="9" t="s">
        <v>11</v>
      </c>
      <c r="B153" s="9" t="s">
        <v>14</v>
      </c>
      <c r="C153" s="9" t="s">
        <v>93</v>
      </c>
      <c r="D153" s="9" t="s">
        <v>66</v>
      </c>
      <c r="E153" s="9" t="s">
        <v>13</v>
      </c>
      <c r="F153" s="9">
        <v>727.81150531338574</v>
      </c>
      <c r="G153" s="9">
        <v>-2.4039392749116262</v>
      </c>
      <c r="H153" s="9">
        <v>11.806799215885228</v>
      </c>
      <c r="I153" s="9">
        <v>-0.93655723200609076</v>
      </c>
      <c r="J153" s="9">
        <v>0</v>
      </c>
      <c r="K153" s="9">
        <v>0</v>
      </c>
      <c r="L153" s="9">
        <v>0</v>
      </c>
      <c r="M153" s="10">
        <v>12</v>
      </c>
      <c r="N153" s="10">
        <v>86</v>
      </c>
      <c r="O153" s="24">
        <f t="shared" si="7"/>
        <v>30</v>
      </c>
      <c r="P153" s="22">
        <f>((alpha*(speed^beta))+(ceta*(speed^delta)))</f>
        <v>0.6930373332682368</v>
      </c>
    </row>
    <row r="154" spans="1:16" s="82" customFormat="1" x14ac:dyDescent="0.25">
      <c r="M154" s="83"/>
      <c r="N154" s="83"/>
      <c r="O154" s="84"/>
      <c r="P154" s="85"/>
    </row>
    <row r="155" spans="1:16" s="82" customFormat="1" x14ac:dyDescent="0.25">
      <c r="M155" s="83"/>
      <c r="N155" s="83"/>
      <c r="O155" s="84"/>
      <c r="P155" s="85"/>
    </row>
    <row r="156" spans="1:16" s="82" customFormat="1" x14ac:dyDescent="0.25">
      <c r="M156" s="83"/>
      <c r="N156" s="83"/>
      <c r="O156" s="84"/>
      <c r="P156" s="85"/>
    </row>
    <row r="157" spans="1:16" s="82" customFormat="1" x14ac:dyDescent="0.25">
      <c r="M157" s="83"/>
      <c r="N157" s="83"/>
      <c r="O157" s="84"/>
      <c r="P157" s="85"/>
    </row>
    <row r="158" spans="1:16" s="82" customFormat="1" x14ac:dyDescent="0.25">
      <c r="M158" s="83"/>
      <c r="N158" s="83"/>
      <c r="O158" s="84"/>
      <c r="P158" s="85"/>
    </row>
    <row r="159" spans="1:16" s="82" customFormat="1" x14ac:dyDescent="0.25">
      <c r="M159" s="83"/>
      <c r="N159" s="83"/>
      <c r="O159" s="84"/>
      <c r="P159" s="85"/>
    </row>
    <row r="160" spans="1:16" s="82" customFormat="1" x14ac:dyDescent="0.25">
      <c r="M160" s="83"/>
      <c r="N160" s="83"/>
      <c r="O160" s="84"/>
      <c r="P160" s="85"/>
    </row>
    <row r="161" spans="5:16" s="82" customFormat="1" x14ac:dyDescent="0.25">
      <c r="M161" s="83"/>
      <c r="N161" s="83"/>
      <c r="O161" s="84"/>
      <c r="P161" s="85"/>
    </row>
    <row r="170" spans="5:16" x14ac:dyDescent="0.25">
      <c r="E170" s="9"/>
      <c r="P170" s="8"/>
    </row>
    <row r="171" spans="5:16" x14ac:dyDescent="0.25">
      <c r="E171" s="9"/>
      <c r="P171" s="8"/>
    </row>
    <row r="172" spans="5:16" x14ac:dyDescent="0.25">
      <c r="E172" s="9"/>
      <c r="P172" s="8"/>
    </row>
    <row r="173" spans="5:16" x14ac:dyDescent="0.25">
      <c r="E173" s="9"/>
      <c r="P173" s="8"/>
    </row>
  </sheetData>
  <autoFilter ref="A8:P161"/>
  <mergeCells count="1">
    <mergeCell ref="M1:N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zoomScale="55" zoomScaleNormal="55" workbookViewId="0">
      <pane xSplit="4" ySplit="8" topLeftCell="E9" activePane="bottomRight" state="frozen"/>
      <selection pane="topRight" activeCell="E1" sqref="E1"/>
      <selection pane="bottomLeft" activeCell="A9" sqref="A9"/>
      <selection pane="bottomRight" activeCell="P2" sqref="P2"/>
    </sheetView>
  </sheetViews>
  <sheetFormatPr defaultRowHeight="12.75" x14ac:dyDescent="0.2"/>
  <cols>
    <col min="1" max="1" width="19.140625" style="40" customWidth="1"/>
    <col min="2" max="2" width="12.5703125" style="40" customWidth="1"/>
    <col min="3" max="3" width="9.140625" style="40"/>
    <col min="4" max="4" width="20.5703125" style="40" bestFit="1" customWidth="1"/>
    <col min="5" max="5" width="29.7109375" style="40" customWidth="1"/>
    <col min="6" max="12" width="9.140625" style="40"/>
    <col min="13" max="13" width="9.42578125" style="40" bestFit="1" customWidth="1"/>
    <col min="14" max="15" width="15.140625" style="40" customWidth="1"/>
    <col min="16" max="16" width="18.85546875" style="40" customWidth="1"/>
    <col min="17" max="17" width="10.7109375" style="40" customWidth="1"/>
    <col min="18" max="16384" width="9.140625" style="40"/>
  </cols>
  <sheetData>
    <row r="1" spans="1:17" s="15" customFormat="1" ht="25.5" customHeight="1" x14ac:dyDescent="0.35">
      <c r="A1" s="74" t="s">
        <v>71</v>
      </c>
      <c r="B1" s="75"/>
      <c r="C1" s="75"/>
      <c r="D1" s="76" t="s">
        <v>143</v>
      </c>
      <c r="E1" s="75"/>
      <c r="F1" s="75"/>
      <c r="G1" s="75"/>
      <c r="H1" s="75"/>
      <c r="I1" s="75"/>
      <c r="J1" s="75"/>
      <c r="M1" s="40"/>
      <c r="N1" s="126" t="s">
        <v>72</v>
      </c>
      <c r="O1" s="126"/>
      <c r="P1" s="86"/>
      <c r="Q1" s="17"/>
    </row>
    <row r="2" spans="1:17" ht="18.75" x14ac:dyDescent="0.3">
      <c r="A2" s="7"/>
      <c r="N2" s="126"/>
      <c r="O2" s="126"/>
      <c r="P2" s="77">
        <v>30</v>
      </c>
    </row>
    <row r="3" spans="1:17" ht="18.75" x14ac:dyDescent="0.3">
      <c r="N3" s="126"/>
      <c r="O3" s="126"/>
      <c r="P3" s="80"/>
    </row>
    <row r="4" spans="1:17" ht="18.75" x14ac:dyDescent="0.3">
      <c r="N4" s="126"/>
      <c r="O4" s="126"/>
      <c r="P4" s="80"/>
    </row>
    <row r="5" spans="1:17" ht="18.75" x14ac:dyDescent="0.3">
      <c r="N5" s="126"/>
      <c r="O5" s="126"/>
      <c r="P5" s="80"/>
    </row>
    <row r="6" spans="1:17" s="37" customFormat="1" ht="18" x14ac:dyDescent="0.25">
      <c r="A6" s="38"/>
      <c r="B6" s="39"/>
      <c r="C6" s="39"/>
      <c r="D6" s="39"/>
      <c r="E6" s="39"/>
      <c r="F6" s="39"/>
      <c r="G6" s="39"/>
      <c r="H6" s="39"/>
      <c r="I6" s="39"/>
      <c r="J6" s="39"/>
      <c r="K6" s="39"/>
      <c r="L6" s="39"/>
      <c r="M6" s="39"/>
      <c r="N6" s="126"/>
      <c r="O6" s="126"/>
      <c r="P6" s="81"/>
      <c r="Q6" s="38"/>
    </row>
    <row r="7" spans="1:17" s="35" customFormat="1" ht="15" x14ac:dyDescent="0.25">
      <c r="E7" s="39"/>
      <c r="F7" s="36"/>
      <c r="G7" s="39"/>
      <c r="H7" s="39"/>
      <c r="I7" s="39"/>
      <c r="J7" s="39"/>
      <c r="K7" s="39"/>
      <c r="L7" s="39"/>
      <c r="M7" s="39"/>
      <c r="N7" s="36"/>
      <c r="O7" s="39"/>
    </row>
    <row r="8" spans="1:17" s="11" customFormat="1" ht="31.5" x14ac:dyDescent="0.25">
      <c r="A8" s="23" t="s">
        <v>58</v>
      </c>
      <c r="B8" s="23" t="s">
        <v>91</v>
      </c>
      <c r="C8" s="23" t="s">
        <v>92</v>
      </c>
      <c r="D8" s="23" t="s">
        <v>59</v>
      </c>
      <c r="E8" s="23" t="s">
        <v>103</v>
      </c>
      <c r="F8" s="23" t="s">
        <v>42</v>
      </c>
      <c r="G8" s="23" t="s">
        <v>41</v>
      </c>
      <c r="H8" s="23" t="s">
        <v>40</v>
      </c>
      <c r="I8" s="23" t="s">
        <v>39</v>
      </c>
      <c r="J8" s="23" t="s">
        <v>38</v>
      </c>
      <c r="K8" s="23" t="s">
        <v>37</v>
      </c>
      <c r="L8" s="23" t="s">
        <v>36</v>
      </c>
      <c r="M8" s="23" t="s">
        <v>102</v>
      </c>
      <c r="N8" s="23" t="s">
        <v>88</v>
      </c>
      <c r="O8" s="23" t="s">
        <v>89</v>
      </c>
      <c r="P8" s="23" t="s">
        <v>74</v>
      </c>
      <c r="Q8" s="23" t="s">
        <v>87</v>
      </c>
    </row>
    <row r="9" spans="1:17" s="9" customFormat="1" ht="15" x14ac:dyDescent="0.25">
      <c r="A9" s="9" t="s">
        <v>96</v>
      </c>
      <c r="B9" s="9" t="s">
        <v>98</v>
      </c>
      <c r="C9" s="9" t="s">
        <v>97</v>
      </c>
      <c r="D9" s="9" t="s">
        <v>99</v>
      </c>
      <c r="E9" s="9" t="s">
        <v>108</v>
      </c>
      <c r="F9" s="9">
        <v>0</v>
      </c>
      <c r="G9" s="9">
        <v>0.03</v>
      </c>
      <c r="M9" s="10">
        <v>1</v>
      </c>
      <c r="N9" s="10">
        <v>5</v>
      </c>
      <c r="O9" s="10">
        <v>50</v>
      </c>
      <c r="P9" s="24">
        <f>IF($P$2&lt;N9,N9,IF($P$2&gt;O9,O9,$P$2))</f>
        <v>30</v>
      </c>
      <c r="Q9" s="22">
        <f>$M9*($F9+$G9*P9+$H9*P9^2+$I9*P9^3+$J9*P9^4+$K9*P9^5+$L9*P9^6)/P9</f>
        <v>2.9999999999999995E-2</v>
      </c>
    </row>
    <row r="10" spans="1:17" s="35" customFormat="1" ht="15" x14ac:dyDescent="0.25">
      <c r="A10" s="9" t="s">
        <v>96</v>
      </c>
      <c r="B10" s="9" t="s">
        <v>98</v>
      </c>
      <c r="C10" s="9" t="s">
        <v>97</v>
      </c>
      <c r="D10" s="9" t="s">
        <v>0</v>
      </c>
      <c r="E10" s="9" t="s">
        <v>108</v>
      </c>
      <c r="F10" s="9">
        <v>0</v>
      </c>
      <c r="G10" s="9">
        <v>0.03</v>
      </c>
      <c r="H10" s="9"/>
      <c r="I10" s="9"/>
      <c r="J10" s="9"/>
      <c r="K10" s="9"/>
      <c r="L10" s="9"/>
      <c r="M10" s="10">
        <v>1</v>
      </c>
      <c r="N10" s="10">
        <v>5</v>
      </c>
      <c r="O10" s="10">
        <v>50</v>
      </c>
      <c r="P10" s="24">
        <f t="shared" ref="P10:P36" si="0">IF($P$2&lt;N10,N10,IF($P$2&gt;O10,O10,$P$2))</f>
        <v>30</v>
      </c>
      <c r="Q10" s="22">
        <f t="shared" ref="Q10:Q36" si="1">$M10*($F10+$G10*P10+$H10*P10^2+$I10*P10^3+$J10*P10^4+$K10*P10^5+$L10*P10^6)/P10</f>
        <v>2.9999999999999995E-2</v>
      </c>
    </row>
    <row r="11" spans="1:17" s="35" customFormat="1" ht="15" x14ac:dyDescent="0.25">
      <c r="A11" s="9" t="s">
        <v>96</v>
      </c>
      <c r="B11" s="9" t="s">
        <v>98</v>
      </c>
      <c r="C11" s="9" t="s">
        <v>97</v>
      </c>
      <c r="D11" s="9" t="s">
        <v>1</v>
      </c>
      <c r="E11" s="9" t="s">
        <v>108</v>
      </c>
      <c r="F11" s="9">
        <v>0</v>
      </c>
      <c r="G11" s="9">
        <v>0.01</v>
      </c>
      <c r="H11" s="9"/>
      <c r="I11" s="9"/>
      <c r="J11" s="9"/>
      <c r="K11" s="9"/>
      <c r="L11" s="9"/>
      <c r="M11" s="10">
        <v>1</v>
      </c>
      <c r="N11" s="10">
        <v>5</v>
      </c>
      <c r="O11" s="10">
        <v>50</v>
      </c>
      <c r="P11" s="24">
        <f t="shared" si="0"/>
        <v>30</v>
      </c>
      <c r="Q11" s="22">
        <f t="shared" si="1"/>
        <v>0.01</v>
      </c>
    </row>
    <row r="12" spans="1:17" s="35" customFormat="1" ht="15" x14ac:dyDescent="0.25">
      <c r="A12" s="9" t="s">
        <v>96</v>
      </c>
      <c r="B12" s="9" t="s">
        <v>98</v>
      </c>
      <c r="C12" s="9" t="s">
        <v>97</v>
      </c>
      <c r="D12" s="9" t="s">
        <v>2</v>
      </c>
      <c r="E12" s="9" t="s">
        <v>108</v>
      </c>
      <c r="F12" s="9">
        <v>0</v>
      </c>
      <c r="G12" s="9">
        <v>0.01</v>
      </c>
      <c r="H12" s="9"/>
      <c r="I12" s="9"/>
      <c r="J12" s="9"/>
      <c r="K12" s="9"/>
      <c r="L12" s="9"/>
      <c r="M12" s="10">
        <v>1</v>
      </c>
      <c r="N12" s="10">
        <v>5</v>
      </c>
      <c r="O12" s="10">
        <v>50</v>
      </c>
      <c r="P12" s="24">
        <f t="shared" si="0"/>
        <v>30</v>
      </c>
      <c r="Q12" s="22">
        <f t="shared" si="1"/>
        <v>0.01</v>
      </c>
    </row>
    <row r="13" spans="1:17" s="37" customFormat="1" ht="15" x14ac:dyDescent="0.25">
      <c r="A13" s="9" t="s">
        <v>100</v>
      </c>
      <c r="B13" s="9" t="s">
        <v>104</v>
      </c>
      <c r="C13" s="9" t="s">
        <v>97</v>
      </c>
      <c r="D13" s="9" t="s">
        <v>99</v>
      </c>
      <c r="E13" s="9" t="s">
        <v>108</v>
      </c>
      <c r="F13" s="9">
        <v>0.13926876384235243</v>
      </c>
      <c r="G13" s="9">
        <v>9.5517446487356494E-3</v>
      </c>
      <c r="H13" s="9">
        <v>1.8439565174588335E-4</v>
      </c>
      <c r="I13" s="9">
        <v>1.6183880984727353E-6</v>
      </c>
      <c r="J13" s="9">
        <v>0</v>
      </c>
      <c r="K13" s="9">
        <v>0</v>
      </c>
      <c r="L13" s="9">
        <v>0</v>
      </c>
      <c r="M13" s="10">
        <v>1</v>
      </c>
      <c r="N13" s="10">
        <v>5</v>
      </c>
      <c r="O13" s="10">
        <v>100</v>
      </c>
      <c r="P13" s="24">
        <f t="shared" si="0"/>
        <v>30</v>
      </c>
      <c r="Q13" s="22">
        <f t="shared" si="1"/>
        <v>2.1182455617816023E-2</v>
      </c>
    </row>
    <row r="14" spans="1:17" s="37" customFormat="1" ht="15" x14ac:dyDescent="0.25">
      <c r="A14" s="9" t="s">
        <v>100</v>
      </c>
      <c r="B14" s="9" t="s">
        <v>104</v>
      </c>
      <c r="C14" s="9" t="s">
        <v>97</v>
      </c>
      <c r="D14" s="9" t="s">
        <v>0</v>
      </c>
      <c r="E14" s="9" t="s">
        <v>108</v>
      </c>
      <c r="F14" s="9">
        <v>0.14226876384316256</v>
      </c>
      <c r="G14" s="9">
        <v>2.5334917997145823E-2</v>
      </c>
      <c r="H14" s="9">
        <v>1.6999700691189279E-4</v>
      </c>
      <c r="I14" s="9">
        <v>1.6974394818755276E-6</v>
      </c>
      <c r="J14" s="9">
        <v>0</v>
      </c>
      <c r="K14" s="9">
        <v>0</v>
      </c>
      <c r="L14" s="9">
        <v>0</v>
      </c>
      <c r="M14" s="10">
        <v>1</v>
      </c>
      <c r="N14" s="10">
        <v>5</v>
      </c>
      <c r="O14" s="10">
        <v>100</v>
      </c>
      <c r="P14" s="24">
        <f t="shared" si="0"/>
        <v>30</v>
      </c>
      <c r="Q14" s="22">
        <f t="shared" si="1"/>
        <v>3.6704815866296002E-2</v>
      </c>
    </row>
    <row r="15" spans="1:17" s="37" customFormat="1" ht="15" x14ac:dyDescent="0.25">
      <c r="A15" s="9" t="s">
        <v>100</v>
      </c>
      <c r="B15" s="9" t="s">
        <v>104</v>
      </c>
      <c r="C15" s="9" t="s">
        <v>97</v>
      </c>
      <c r="D15" s="9" t="s">
        <v>1</v>
      </c>
      <c r="E15" s="9" t="s">
        <v>108</v>
      </c>
      <c r="F15" s="9">
        <v>0.15699564022798995</v>
      </c>
      <c r="G15" s="9">
        <v>3.0498938688236166E-2</v>
      </c>
      <c r="H15" s="9">
        <v>1.8459693346417616E-4</v>
      </c>
      <c r="I15" s="9">
        <v>1.8803586606273501E-6</v>
      </c>
      <c r="J15" s="9">
        <v>0</v>
      </c>
      <c r="K15" s="9">
        <v>0</v>
      </c>
      <c r="L15" s="9">
        <v>0</v>
      </c>
      <c r="M15" s="10">
        <v>1</v>
      </c>
      <c r="N15" s="10">
        <v>5</v>
      </c>
      <c r="O15" s="10">
        <v>100</v>
      </c>
      <c r="P15" s="24">
        <f t="shared" si="0"/>
        <v>30</v>
      </c>
      <c r="Q15" s="22">
        <f t="shared" si="1"/>
        <v>4.2962357494325733E-2</v>
      </c>
    </row>
    <row r="16" spans="1:17" s="37" customFormat="1" ht="15" x14ac:dyDescent="0.25">
      <c r="A16" s="9" t="s">
        <v>100</v>
      </c>
      <c r="B16" s="9" t="s">
        <v>104</v>
      </c>
      <c r="C16" s="9" t="s">
        <v>97</v>
      </c>
      <c r="D16" s="9" t="s">
        <v>2</v>
      </c>
      <c r="E16" s="9" t="s">
        <v>108</v>
      </c>
      <c r="F16" s="9">
        <v>0.13866876384201987</v>
      </c>
      <c r="G16" s="9">
        <v>6.3951099790635624E-3</v>
      </c>
      <c r="H16" s="9">
        <v>1.8727538071244831E-4</v>
      </c>
      <c r="I16" s="9">
        <v>1.6025778217941718E-6</v>
      </c>
      <c r="J16" s="9">
        <v>0</v>
      </c>
      <c r="K16" s="9">
        <v>0</v>
      </c>
      <c r="L16" s="9">
        <v>0</v>
      </c>
      <c r="M16" s="10">
        <v>1</v>
      </c>
      <c r="N16" s="10">
        <v>5</v>
      </c>
      <c r="O16" s="10">
        <v>100</v>
      </c>
      <c r="P16" s="24">
        <f t="shared" si="0"/>
        <v>30</v>
      </c>
      <c r="Q16" s="22">
        <f t="shared" si="1"/>
        <v>1.8077983568119092E-2</v>
      </c>
    </row>
    <row r="17" spans="1:17" s="37" customFormat="1" ht="15" x14ac:dyDescent="0.25">
      <c r="A17" s="9" t="s">
        <v>100</v>
      </c>
      <c r="B17" s="9" t="s">
        <v>105</v>
      </c>
      <c r="C17" s="9" t="s">
        <v>97</v>
      </c>
      <c r="D17" s="9" t="s">
        <v>99</v>
      </c>
      <c r="E17" s="9" t="s">
        <v>108</v>
      </c>
      <c r="F17" s="9">
        <v>-1.8696300685405731E-7</v>
      </c>
      <c r="G17" s="9">
        <v>5.6335605455387849E-2</v>
      </c>
      <c r="H17" s="9">
        <v>-2.0181432632853102E-3</v>
      </c>
      <c r="I17" s="9">
        <v>8.8163141015229485E-5</v>
      </c>
      <c r="J17" s="9">
        <v>-2.0242318956587013E-6</v>
      </c>
      <c r="K17" s="9">
        <v>2.1974798120917571E-8</v>
      </c>
      <c r="L17" s="9">
        <v>-7.3757000285234867E-11</v>
      </c>
      <c r="M17" s="10">
        <v>1</v>
      </c>
      <c r="N17" s="10">
        <v>5</v>
      </c>
      <c r="O17" s="10">
        <v>130</v>
      </c>
      <c r="P17" s="24">
        <f t="shared" si="0"/>
        <v>30</v>
      </c>
      <c r="Q17" s="22">
        <f t="shared" si="1"/>
        <v>3.6491158426661945E-2</v>
      </c>
    </row>
    <row r="18" spans="1:17" s="37" customFormat="1" ht="15" x14ac:dyDescent="0.25">
      <c r="A18" s="9" t="s">
        <v>100</v>
      </c>
      <c r="B18" s="9" t="s">
        <v>105</v>
      </c>
      <c r="C18" s="9" t="s">
        <v>97</v>
      </c>
      <c r="D18" s="9" t="s">
        <v>0</v>
      </c>
      <c r="E18" s="9" t="s">
        <v>108</v>
      </c>
      <c r="F18" s="9">
        <v>-1.8696300685405731E-7</v>
      </c>
      <c r="G18" s="9">
        <v>5.6335605455387849E-2</v>
      </c>
      <c r="H18" s="9">
        <v>-2.0181432632853102E-3</v>
      </c>
      <c r="I18" s="9">
        <v>8.8163141015229485E-5</v>
      </c>
      <c r="J18" s="9">
        <v>-2.0242318956587013E-6</v>
      </c>
      <c r="K18" s="9">
        <v>2.1974798120917571E-8</v>
      </c>
      <c r="L18" s="9">
        <v>-7.3757000285234867E-11</v>
      </c>
      <c r="M18" s="10">
        <v>1</v>
      </c>
      <c r="N18" s="10">
        <v>5</v>
      </c>
      <c r="O18" s="10">
        <v>130</v>
      </c>
      <c r="P18" s="24">
        <f t="shared" si="0"/>
        <v>30</v>
      </c>
      <c r="Q18" s="22">
        <f t="shared" si="1"/>
        <v>3.6491158426661945E-2</v>
      </c>
    </row>
    <row r="19" spans="1:17" s="37" customFormat="1" ht="15" x14ac:dyDescent="0.25">
      <c r="A19" s="9" t="s">
        <v>100</v>
      </c>
      <c r="B19" s="9" t="s">
        <v>105</v>
      </c>
      <c r="C19" s="9" t="s">
        <v>97</v>
      </c>
      <c r="D19" s="9" t="s">
        <v>1</v>
      </c>
      <c r="E19" s="9" t="s">
        <v>108</v>
      </c>
      <c r="F19" s="9">
        <v>-2.1912273950874805E-7</v>
      </c>
      <c r="G19" s="9">
        <v>9.4117708344128914E-2</v>
      </c>
      <c r="H19" s="9">
        <v>-5.5707517221890157E-3</v>
      </c>
      <c r="I19" s="9">
        <v>2.1436346396797035E-4</v>
      </c>
      <c r="J19" s="9">
        <v>-4.0252499780013551E-6</v>
      </c>
      <c r="K19" s="9">
        <v>3.6870936198293847E-8</v>
      </c>
      <c r="L19" s="9">
        <v>-1.1430800047013221E-10</v>
      </c>
      <c r="M19" s="10">
        <v>1</v>
      </c>
      <c r="N19" s="10">
        <v>5</v>
      </c>
      <c r="O19" s="10">
        <v>130</v>
      </c>
      <c r="P19" s="24">
        <f t="shared" si="0"/>
        <v>30</v>
      </c>
      <c r="Q19" s="22">
        <f t="shared" si="1"/>
        <v>3.8328291448697649E-2</v>
      </c>
    </row>
    <row r="20" spans="1:17" s="37" customFormat="1" ht="15" x14ac:dyDescent="0.25">
      <c r="A20" s="9" t="s">
        <v>100</v>
      </c>
      <c r="B20" s="9" t="s">
        <v>105</v>
      </c>
      <c r="C20" s="9" t="s">
        <v>97</v>
      </c>
      <c r="D20" s="9" t="s">
        <v>2</v>
      </c>
      <c r="E20" s="9" t="s">
        <v>108</v>
      </c>
      <c r="F20" s="9">
        <v>-1.1158408597111702E-7</v>
      </c>
      <c r="G20" s="9">
        <v>3.0816773432889022E-2</v>
      </c>
      <c r="H20" s="9">
        <v>-1.415201095824159E-3</v>
      </c>
      <c r="I20" s="9">
        <v>6.4464872195912903E-5</v>
      </c>
      <c r="J20" s="9">
        <v>-1.3945067522946886E-6</v>
      </c>
      <c r="K20" s="9">
        <v>1.4289379076260628E-8</v>
      </c>
      <c r="L20" s="9">
        <v>-4.6593000181191914E-11</v>
      </c>
      <c r="M20" s="10">
        <v>1</v>
      </c>
      <c r="N20" s="10">
        <v>5</v>
      </c>
      <c r="O20" s="10">
        <v>130</v>
      </c>
      <c r="P20" s="24">
        <f t="shared" si="0"/>
        <v>30</v>
      </c>
      <c r="Q20" s="22">
        <f t="shared" si="1"/>
        <v>1.9169626650427887E-2</v>
      </c>
    </row>
    <row r="21" spans="1:17" s="37" customFormat="1" ht="15" x14ac:dyDescent="0.25">
      <c r="A21" s="9" t="s">
        <v>101</v>
      </c>
      <c r="B21" s="9" t="s">
        <v>104</v>
      </c>
      <c r="C21" s="9" t="s">
        <v>97</v>
      </c>
      <c r="D21" s="9" t="s">
        <v>99</v>
      </c>
      <c r="E21" s="9" t="s">
        <v>108</v>
      </c>
      <c r="F21" s="9">
        <v>3.5454286262392998E-7</v>
      </c>
      <c r="G21" s="9">
        <v>0.34838063211645931</v>
      </c>
      <c r="H21" s="9">
        <v>-1.6964493000159564E-2</v>
      </c>
      <c r="I21" s="9">
        <v>8.2322633230091924E-4</v>
      </c>
      <c r="J21" s="9">
        <v>-1.540593640836363E-5</v>
      </c>
      <c r="K21" s="9">
        <v>1.3685769587046259E-7</v>
      </c>
      <c r="L21" s="9">
        <v>-4.5970900582048817E-10</v>
      </c>
      <c r="M21" s="10">
        <v>1</v>
      </c>
      <c r="N21" s="10">
        <v>5</v>
      </c>
      <c r="O21" s="10">
        <v>100</v>
      </c>
      <c r="P21" s="24">
        <f t="shared" si="0"/>
        <v>30</v>
      </c>
      <c r="Q21" s="22">
        <f t="shared" si="1"/>
        <v>0.26407307478841402</v>
      </c>
    </row>
    <row r="22" spans="1:17" s="37" customFormat="1" ht="15" x14ac:dyDescent="0.25">
      <c r="A22" s="9" t="s">
        <v>101</v>
      </c>
      <c r="B22" s="9" t="s">
        <v>104</v>
      </c>
      <c r="C22" s="9" t="s">
        <v>97</v>
      </c>
      <c r="D22" s="9" t="s">
        <v>0</v>
      </c>
      <c r="E22" s="9" t="s">
        <v>108</v>
      </c>
      <c r="F22" s="9">
        <v>3.6746496334671974E-7</v>
      </c>
      <c r="G22" s="9">
        <v>0.4367830077680992</v>
      </c>
      <c r="H22" s="9">
        <v>-2.6326075308134023E-2</v>
      </c>
      <c r="I22" s="9">
        <v>1.2349713478556623E-3</v>
      </c>
      <c r="J22" s="9">
        <v>-2.3458559938127621E-5</v>
      </c>
      <c r="K22" s="9">
        <v>2.0976824272739281E-7</v>
      </c>
      <c r="L22" s="9">
        <v>-7.0746100849035289E-10</v>
      </c>
      <c r="M22" s="10">
        <v>1</v>
      </c>
      <c r="N22" s="10">
        <v>5</v>
      </c>
      <c r="O22" s="10">
        <v>100</v>
      </c>
      <c r="P22" s="24">
        <f t="shared" si="0"/>
        <v>30</v>
      </c>
      <c r="Q22" s="22">
        <f t="shared" si="1"/>
        <v>0.27781482961643356</v>
      </c>
    </row>
    <row r="23" spans="1:17" s="37" customFormat="1" ht="15" x14ac:dyDescent="0.25">
      <c r="A23" s="9" t="s">
        <v>101</v>
      </c>
      <c r="B23" s="9" t="s">
        <v>104</v>
      </c>
      <c r="C23" s="9" t="s">
        <v>97</v>
      </c>
      <c r="D23" s="9" t="s">
        <v>1</v>
      </c>
      <c r="E23" s="9" t="s">
        <v>108</v>
      </c>
      <c r="F23" s="9">
        <v>3.5640550777316093E-7</v>
      </c>
      <c r="G23" s="9">
        <v>0.400982569612097</v>
      </c>
      <c r="H23" s="9">
        <v>-1.8969892970744695E-2</v>
      </c>
      <c r="I23" s="9">
        <v>7.3403448169528929E-4</v>
      </c>
      <c r="J23" s="9">
        <v>-1.2752752690303737E-5</v>
      </c>
      <c r="K23" s="9">
        <v>1.140938316046558E-7</v>
      </c>
      <c r="L23" s="9">
        <v>-3.892220050492716E-10</v>
      </c>
      <c r="M23" s="10">
        <v>1</v>
      </c>
      <c r="N23" s="10">
        <v>5</v>
      </c>
      <c r="O23" s="10">
        <v>100</v>
      </c>
      <c r="P23" s="24">
        <f t="shared" si="0"/>
        <v>30</v>
      </c>
      <c r="Q23" s="22">
        <f t="shared" si="1"/>
        <v>0.2311504121345731</v>
      </c>
    </row>
    <row r="24" spans="1:17" s="37" customFormat="1" ht="15" x14ac:dyDescent="0.25">
      <c r="A24" s="9" t="s">
        <v>101</v>
      </c>
      <c r="B24" s="9" t="s">
        <v>104</v>
      </c>
      <c r="C24" s="9" t="s">
        <v>97</v>
      </c>
      <c r="D24" s="9" t="s">
        <v>2</v>
      </c>
      <c r="E24" s="9" t="s">
        <v>108</v>
      </c>
      <c r="F24" s="9">
        <v>1.808220986276865E-7</v>
      </c>
      <c r="G24" s="9">
        <v>0.21913078358920757</v>
      </c>
      <c r="H24" s="9">
        <v>-1.0901360984462372E-2</v>
      </c>
      <c r="I24" s="9">
        <v>4.0795004707661064E-4</v>
      </c>
      <c r="J24" s="9">
        <v>-6.8595828324191643E-6</v>
      </c>
      <c r="K24" s="9">
        <v>5.9137153857885538E-8</v>
      </c>
      <c r="L24" s="9">
        <v>-1.9526700267439917E-10</v>
      </c>
      <c r="M24" s="10">
        <v>1</v>
      </c>
      <c r="N24" s="10">
        <v>5</v>
      </c>
      <c r="O24" s="10">
        <v>100</v>
      </c>
      <c r="P24" s="24">
        <f t="shared" si="0"/>
        <v>30</v>
      </c>
      <c r="Q24" s="22">
        <f t="shared" si="1"/>
        <v>0.11719237243627124</v>
      </c>
    </row>
    <row r="25" spans="1:17" s="37" customFormat="1" ht="15" x14ac:dyDescent="0.25">
      <c r="A25" s="9" t="s">
        <v>101</v>
      </c>
      <c r="B25" s="9" t="s">
        <v>105</v>
      </c>
      <c r="C25" s="9" t="s">
        <v>97</v>
      </c>
      <c r="D25" s="9" t="s">
        <v>99</v>
      </c>
      <c r="E25" s="9" t="s">
        <v>108</v>
      </c>
      <c r="F25" s="9">
        <v>-4.2130704969167709E-7</v>
      </c>
      <c r="G25" s="9">
        <v>0.2948640035756398</v>
      </c>
      <c r="H25" s="9">
        <v>-9.0070598025704385E-3</v>
      </c>
      <c r="I25" s="9">
        <v>3.487523432852413E-4</v>
      </c>
      <c r="J25" s="9">
        <v>-4.8124203793076248E-6</v>
      </c>
      <c r="K25" s="9">
        <v>3.3083979229797666E-8</v>
      </c>
      <c r="L25" s="9">
        <v>-8.6903000535998049E-11</v>
      </c>
      <c r="M25" s="10">
        <v>1</v>
      </c>
      <c r="N25" s="10">
        <v>5</v>
      </c>
      <c r="O25" s="10">
        <v>130</v>
      </c>
      <c r="P25" s="24">
        <f t="shared" si="0"/>
        <v>30</v>
      </c>
      <c r="Q25" s="22">
        <f t="shared" si="1"/>
        <v>0.23328023443348098</v>
      </c>
    </row>
    <row r="26" spans="1:17" s="37" customFormat="1" ht="15" x14ac:dyDescent="0.25">
      <c r="A26" s="9" t="s">
        <v>101</v>
      </c>
      <c r="B26" s="9" t="s">
        <v>105</v>
      </c>
      <c r="C26" s="9" t="s">
        <v>97</v>
      </c>
      <c r="D26" s="9" t="s">
        <v>0</v>
      </c>
      <c r="E26" s="9" t="s">
        <v>108</v>
      </c>
      <c r="F26" s="9">
        <v>-4.2130704969167709E-7</v>
      </c>
      <c r="G26" s="9">
        <v>0.2948640035756398</v>
      </c>
      <c r="H26" s="9">
        <v>-9.0070598025704385E-3</v>
      </c>
      <c r="I26" s="9">
        <v>3.487523432852413E-4</v>
      </c>
      <c r="J26" s="9">
        <v>-4.8124203793076248E-6</v>
      </c>
      <c r="K26" s="9">
        <v>3.3083979229797666E-8</v>
      </c>
      <c r="L26" s="9">
        <v>-8.6903000535998049E-11</v>
      </c>
      <c r="M26" s="10">
        <v>1</v>
      </c>
      <c r="N26" s="10">
        <v>5</v>
      </c>
      <c r="O26" s="10">
        <v>130</v>
      </c>
      <c r="P26" s="24">
        <f t="shared" si="0"/>
        <v>30</v>
      </c>
      <c r="Q26" s="22">
        <f t="shared" si="1"/>
        <v>0.23328023443348098</v>
      </c>
    </row>
    <row r="27" spans="1:17" s="37" customFormat="1" ht="15" x14ac:dyDescent="0.25">
      <c r="A27" s="9" t="s">
        <v>101</v>
      </c>
      <c r="B27" s="9" t="s">
        <v>105</v>
      </c>
      <c r="C27" s="9" t="s">
        <v>97</v>
      </c>
      <c r="D27" s="9" t="s">
        <v>1</v>
      </c>
      <c r="E27" s="9" t="s">
        <v>108</v>
      </c>
      <c r="F27" s="9">
        <v>-4.2130704969167709E-7</v>
      </c>
      <c r="G27" s="9">
        <v>0.2948640035756398</v>
      </c>
      <c r="H27" s="9">
        <v>-9.0070598025704385E-3</v>
      </c>
      <c r="I27" s="9">
        <v>3.487523432852413E-4</v>
      </c>
      <c r="J27" s="9">
        <v>-4.8124203793076248E-6</v>
      </c>
      <c r="K27" s="9">
        <v>3.3083979229797666E-8</v>
      </c>
      <c r="L27" s="9">
        <v>-8.6903000535998049E-11</v>
      </c>
      <c r="M27" s="10">
        <v>1</v>
      </c>
      <c r="N27" s="10">
        <v>5</v>
      </c>
      <c r="O27" s="10">
        <v>130</v>
      </c>
      <c r="P27" s="24">
        <f t="shared" si="0"/>
        <v>30</v>
      </c>
      <c r="Q27" s="22">
        <f t="shared" si="1"/>
        <v>0.23328023443348098</v>
      </c>
    </row>
    <row r="28" spans="1:17" s="37" customFormat="1" ht="15" x14ac:dyDescent="0.25">
      <c r="A28" s="9" t="s">
        <v>101</v>
      </c>
      <c r="B28" s="9" t="s">
        <v>105</v>
      </c>
      <c r="C28" s="9" t="s">
        <v>97</v>
      </c>
      <c r="D28" s="9" t="s">
        <v>2</v>
      </c>
      <c r="E28" s="9" t="s">
        <v>108</v>
      </c>
      <c r="F28" s="9">
        <v>-2.1408777683973312E-7</v>
      </c>
      <c r="G28" s="9">
        <v>0.15734988570329733</v>
      </c>
      <c r="H28" s="9">
        <v>-4.9247209872191888E-3</v>
      </c>
      <c r="I28" s="9">
        <v>1.8097128784688721E-4</v>
      </c>
      <c r="J28" s="9">
        <v>-2.4263475107977328E-6</v>
      </c>
      <c r="K28" s="9">
        <v>1.6313975125664681E-8</v>
      </c>
      <c r="L28" s="9">
        <v>-4.2152000277419959E-11</v>
      </c>
      <c r="M28" s="10">
        <v>1</v>
      </c>
      <c r="N28" s="10">
        <v>5</v>
      </c>
      <c r="O28" s="10">
        <v>130</v>
      </c>
      <c r="P28" s="24">
        <f t="shared" si="0"/>
        <v>30</v>
      </c>
      <c r="Q28" s="22">
        <f t="shared" si="1"/>
        <v>0.11916105146616922</v>
      </c>
    </row>
    <row r="29" spans="1:17" s="37" customFormat="1" ht="15" x14ac:dyDescent="0.25">
      <c r="A29" s="9" t="s">
        <v>101</v>
      </c>
      <c r="B29" s="9" t="s">
        <v>106</v>
      </c>
      <c r="C29" s="9" t="s">
        <v>97</v>
      </c>
      <c r="D29" s="9" t="s">
        <v>99</v>
      </c>
      <c r="E29" s="9" t="s">
        <v>108</v>
      </c>
      <c r="F29" s="9">
        <v>9.2748086899518967E-7</v>
      </c>
      <c r="G29" s="9">
        <v>0.3075232558476273</v>
      </c>
      <c r="H29" s="9">
        <v>3.2088370389828924E-3</v>
      </c>
      <c r="I29" s="9">
        <v>-4.5131820314736615E-4</v>
      </c>
      <c r="J29" s="9">
        <v>1.2852512195404842E-5</v>
      </c>
      <c r="K29" s="9">
        <v>-1.2797941016662318E-7</v>
      </c>
      <c r="L29" s="9">
        <v>4.4315001721092952E-10</v>
      </c>
      <c r="M29" s="10">
        <v>1</v>
      </c>
      <c r="N29" s="10">
        <v>5</v>
      </c>
      <c r="O29" s="10">
        <v>140</v>
      </c>
      <c r="P29" s="24">
        <f t="shared" si="0"/>
        <v>30</v>
      </c>
      <c r="Q29" s="22">
        <f t="shared" si="1"/>
        <v>0.25172506755970508</v>
      </c>
    </row>
    <row r="30" spans="1:17" s="37" customFormat="1" ht="15" x14ac:dyDescent="0.25">
      <c r="A30" s="9" t="s">
        <v>101</v>
      </c>
      <c r="B30" s="9" t="s">
        <v>106</v>
      </c>
      <c r="C30" s="9" t="s">
        <v>97</v>
      </c>
      <c r="D30" s="9" t="s">
        <v>0</v>
      </c>
      <c r="E30" s="9" t="s">
        <v>108</v>
      </c>
      <c r="F30" s="9">
        <v>6.6129723563790321E-7</v>
      </c>
      <c r="G30" s="9">
        <v>0.24536176458059344</v>
      </c>
      <c r="H30" s="9">
        <v>-1.7934397474164143E-3</v>
      </c>
      <c r="I30" s="9">
        <v>1.9810951329191084E-5</v>
      </c>
      <c r="J30" s="9">
        <v>1.4061922981589703E-6</v>
      </c>
      <c r="K30" s="9">
        <v>-1.7380237003067345E-8</v>
      </c>
      <c r="L30" s="9">
        <v>6.4553000006631377E-11</v>
      </c>
      <c r="M30" s="10">
        <v>1</v>
      </c>
      <c r="N30" s="10">
        <v>5</v>
      </c>
      <c r="O30" s="10">
        <v>140</v>
      </c>
      <c r="P30" s="24">
        <f t="shared" si="0"/>
        <v>30</v>
      </c>
      <c r="Q30" s="22">
        <f t="shared" si="1"/>
        <v>0.23484628837558297</v>
      </c>
    </row>
    <row r="31" spans="1:17" s="37" customFormat="1" ht="15" x14ac:dyDescent="0.25">
      <c r="A31" s="9" t="s">
        <v>101</v>
      </c>
      <c r="B31" s="9" t="s">
        <v>106</v>
      </c>
      <c r="C31" s="9" t="s">
        <v>97</v>
      </c>
      <c r="D31" s="9" t="s">
        <v>1</v>
      </c>
      <c r="E31" s="9" t="s">
        <v>108</v>
      </c>
      <c r="F31" s="9">
        <v>0.15220230051636463</v>
      </c>
      <c r="G31" s="9">
        <v>0.15365127058612416</v>
      </c>
      <c r="H31" s="9">
        <v>-4.9028468670258007E-3</v>
      </c>
      <c r="I31" s="9">
        <v>8.555306497370907E-5</v>
      </c>
      <c r="J31" s="9">
        <v>-3.7853998604425732E-7</v>
      </c>
      <c r="K31" s="9">
        <v>1.2404520002861665E-9</v>
      </c>
      <c r="L31" s="9">
        <v>0</v>
      </c>
      <c r="M31" s="10">
        <v>1</v>
      </c>
      <c r="N31" s="10">
        <v>5</v>
      </c>
      <c r="O31" s="10">
        <v>140</v>
      </c>
      <c r="P31" s="24">
        <f t="shared" si="0"/>
        <v>30</v>
      </c>
      <c r="Q31" s="22">
        <f t="shared" si="1"/>
        <v>7.9421219565937298E-2</v>
      </c>
    </row>
    <row r="32" spans="1:17" s="37" customFormat="1" ht="15" x14ac:dyDescent="0.25">
      <c r="A32" s="9" t="s">
        <v>101</v>
      </c>
      <c r="B32" s="9" t="s">
        <v>106</v>
      </c>
      <c r="C32" s="9" t="s">
        <v>97</v>
      </c>
      <c r="D32" s="9" t="s">
        <v>2</v>
      </c>
      <c r="E32" s="9" t="s">
        <v>108</v>
      </c>
      <c r="F32" s="9">
        <v>1.7383717931807041E-7</v>
      </c>
      <c r="G32" s="9">
        <v>0.1067209367902251</v>
      </c>
      <c r="H32" s="9">
        <v>-4.8229144811102742E-3</v>
      </c>
      <c r="I32" s="9">
        <v>1.1814852464908654E-4</v>
      </c>
      <c r="J32" s="9">
        <v>-1.2964534458204113E-6</v>
      </c>
      <c r="K32" s="9">
        <v>8.173955061419047E-9</v>
      </c>
      <c r="L32" s="9">
        <v>-1.9298000135013153E-11</v>
      </c>
      <c r="M32" s="10">
        <v>1</v>
      </c>
      <c r="N32" s="10">
        <v>5</v>
      </c>
      <c r="O32" s="10">
        <v>140</v>
      </c>
      <c r="P32" s="24">
        <f t="shared" si="0"/>
        <v>30</v>
      </c>
      <c r="Q32" s="22">
        <f t="shared" si="1"/>
        <v>3.9514899494984899E-2</v>
      </c>
    </row>
    <row r="33" spans="1:17" s="37" customFormat="1" ht="15" x14ac:dyDescent="0.25">
      <c r="A33" s="9" t="s">
        <v>101</v>
      </c>
      <c r="B33" s="9" t="s">
        <v>107</v>
      </c>
      <c r="C33" s="9" t="s">
        <v>97</v>
      </c>
      <c r="D33" s="9" t="s">
        <v>99</v>
      </c>
      <c r="E33" s="9" t="s">
        <v>108</v>
      </c>
      <c r="F33" s="9">
        <v>5.268375389277935E-7</v>
      </c>
      <c r="G33" s="9">
        <v>0.30591439391719177</v>
      </c>
      <c r="H33" s="9">
        <v>-1.1038414438189648E-2</v>
      </c>
      <c r="I33" s="9">
        <v>2.3566952773990124E-4</v>
      </c>
      <c r="J33" s="9">
        <v>-1.9883824033950503E-6</v>
      </c>
      <c r="K33" s="9">
        <v>1.2365474116871056E-8</v>
      </c>
      <c r="L33" s="9">
        <v>-3.488100024882099E-11</v>
      </c>
      <c r="M33" s="10">
        <v>1</v>
      </c>
      <c r="N33" s="10">
        <v>5</v>
      </c>
      <c r="O33" s="10">
        <v>140</v>
      </c>
      <c r="P33" s="24">
        <f t="shared" si="0"/>
        <v>30</v>
      </c>
      <c r="Q33" s="22">
        <f t="shared" si="1"/>
        <v>0.14234665413561759</v>
      </c>
    </row>
    <row r="34" spans="1:17" s="37" customFormat="1" ht="15" x14ac:dyDescent="0.25">
      <c r="A34" s="9" t="s">
        <v>101</v>
      </c>
      <c r="B34" s="9" t="s">
        <v>107</v>
      </c>
      <c r="C34" s="9" t="s">
        <v>97</v>
      </c>
      <c r="D34" s="9" t="s">
        <v>0</v>
      </c>
      <c r="E34" s="9" t="s">
        <v>108</v>
      </c>
      <c r="F34" s="9">
        <v>5.268375389277935E-7</v>
      </c>
      <c r="G34" s="9">
        <v>0.30591439391719177</v>
      </c>
      <c r="H34" s="9">
        <v>-1.1038414438189648E-2</v>
      </c>
      <c r="I34" s="9">
        <v>2.3566952773990124E-4</v>
      </c>
      <c r="J34" s="9">
        <v>-1.9883824033950503E-6</v>
      </c>
      <c r="K34" s="9">
        <v>1.2365474116871056E-8</v>
      </c>
      <c r="L34" s="9">
        <v>-3.488100024882099E-11</v>
      </c>
      <c r="M34" s="10">
        <v>1</v>
      </c>
      <c r="N34" s="10">
        <v>5</v>
      </c>
      <c r="O34" s="10">
        <v>140</v>
      </c>
      <c r="P34" s="24">
        <f t="shared" si="0"/>
        <v>30</v>
      </c>
      <c r="Q34" s="22">
        <f t="shared" si="1"/>
        <v>0.14234665413561759</v>
      </c>
    </row>
    <row r="35" spans="1:17" s="37" customFormat="1" ht="15" x14ac:dyDescent="0.25">
      <c r="A35" s="9" t="s">
        <v>101</v>
      </c>
      <c r="B35" s="9" t="s">
        <v>107</v>
      </c>
      <c r="C35" s="9" t="s">
        <v>97</v>
      </c>
      <c r="D35" s="9" t="s">
        <v>1</v>
      </c>
      <c r="E35" s="9" t="s">
        <v>108</v>
      </c>
      <c r="F35" s="9">
        <v>-0.24219735206861515</v>
      </c>
      <c r="G35" s="9">
        <v>0.32721333011431852</v>
      </c>
      <c r="H35" s="9">
        <v>-1.1735086046087417E-2</v>
      </c>
      <c r="I35" s="9">
        <v>1.8353717494790089E-4</v>
      </c>
      <c r="J35" s="9">
        <v>-7.8091050116635419E-7</v>
      </c>
      <c r="K35" s="9">
        <v>2.7855740005215332E-9</v>
      </c>
      <c r="L35" s="9">
        <v>0</v>
      </c>
      <c r="M35" s="10">
        <v>1</v>
      </c>
      <c r="N35" s="10">
        <v>5</v>
      </c>
      <c r="O35" s="10">
        <v>140</v>
      </c>
      <c r="P35" s="24">
        <f t="shared" si="0"/>
        <v>30</v>
      </c>
      <c r="Q35" s="22">
        <f t="shared" si="1"/>
        <v>0.11344269252478385</v>
      </c>
    </row>
    <row r="36" spans="1:17" s="37" customFormat="1" ht="15" x14ac:dyDescent="0.25">
      <c r="A36" s="9" t="s">
        <v>101</v>
      </c>
      <c r="B36" s="9" t="s">
        <v>107</v>
      </c>
      <c r="C36" s="9" t="s">
        <v>97</v>
      </c>
      <c r="D36" s="9" t="s">
        <v>2</v>
      </c>
      <c r="E36" s="9" t="s">
        <v>108</v>
      </c>
      <c r="F36" s="9">
        <v>-4.7158976274658926E-2</v>
      </c>
      <c r="G36" s="9">
        <v>0.16275462378143857</v>
      </c>
      <c r="H36" s="9">
        <v>-5.8995727573574186E-3</v>
      </c>
      <c r="I36" s="9">
        <v>9.3974398494012235E-5</v>
      </c>
      <c r="J36" s="9">
        <v>-4.1676439408583343E-7</v>
      </c>
      <c r="K36" s="9">
        <v>1.5083430002509231E-9</v>
      </c>
      <c r="L36" s="9">
        <v>0</v>
      </c>
      <c r="M36" s="10">
        <v>1</v>
      </c>
      <c r="N36" s="10">
        <v>5</v>
      </c>
      <c r="O36" s="10">
        <v>140</v>
      </c>
      <c r="P36" s="24">
        <f t="shared" si="0"/>
        <v>30</v>
      </c>
      <c r="Q36" s="22">
        <f t="shared" si="1"/>
        <v>5.8741553019390803E-2</v>
      </c>
    </row>
    <row r="37" spans="1:17" ht="15" x14ac:dyDescent="0.25">
      <c r="A37" s="9"/>
    </row>
    <row r="38" spans="1:17" ht="15" x14ac:dyDescent="0.25">
      <c r="A38" s="9"/>
    </row>
  </sheetData>
  <autoFilter ref="A8:Q8"/>
  <mergeCells count="1">
    <mergeCell ref="N1:O6"/>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zoomScale="70" zoomScaleNormal="70" workbookViewId="0">
      <selection sqref="A1:K2"/>
    </sheetView>
  </sheetViews>
  <sheetFormatPr defaultRowHeight="15" x14ac:dyDescent="0.25"/>
  <cols>
    <col min="1" max="1" width="23.28515625" customWidth="1"/>
    <col min="2" max="2" width="16.7109375" bestFit="1" customWidth="1"/>
    <col min="3" max="3" width="20.7109375" bestFit="1" customWidth="1"/>
    <col min="4" max="4" width="10.85546875" bestFit="1" customWidth="1"/>
    <col min="5" max="5" width="24.5703125" bestFit="1" customWidth="1"/>
    <col min="6" max="6" width="29" bestFit="1" customWidth="1"/>
    <col min="11" max="11" width="10.7109375" customWidth="1"/>
    <col min="12" max="12" width="10.28515625" customWidth="1"/>
    <col min="14" max="14" width="11.85546875" customWidth="1"/>
    <col min="15" max="15" width="13.140625" bestFit="1" customWidth="1"/>
    <col min="17" max="17" width="12" bestFit="1" customWidth="1"/>
    <col min="18" max="18" width="11.7109375" bestFit="1" customWidth="1"/>
  </cols>
  <sheetData>
    <row r="1" spans="1:11" ht="25.5" customHeight="1" x14ac:dyDescent="0.25">
      <c r="A1" s="150" t="s">
        <v>173</v>
      </c>
      <c r="B1" s="150"/>
      <c r="C1" s="150"/>
      <c r="D1" s="150"/>
      <c r="E1" s="150"/>
      <c r="F1" s="150"/>
      <c r="G1" s="150"/>
      <c r="H1" s="150"/>
      <c r="I1" s="150"/>
      <c r="J1" s="150"/>
      <c r="K1" s="150"/>
    </row>
    <row r="2" spans="1:11" ht="36" customHeight="1" x14ac:dyDescent="0.25">
      <c r="A2" s="150"/>
      <c r="B2" s="150"/>
      <c r="C2" s="150"/>
      <c r="D2" s="150"/>
      <c r="E2" s="150"/>
      <c r="F2" s="150"/>
      <c r="G2" s="150"/>
      <c r="H2" s="150"/>
      <c r="I2" s="150"/>
      <c r="J2" s="150"/>
      <c r="K2" s="150"/>
    </row>
    <row r="51" spans="1:20" x14ac:dyDescent="0.25">
      <c r="A51" s="7" t="s">
        <v>141</v>
      </c>
    </row>
    <row r="52" spans="1:20" ht="15.75" thickBot="1" x14ac:dyDescent="0.3"/>
    <row r="53" spans="1:20" ht="19.5" thickTop="1" thickBot="1" x14ac:dyDescent="0.4">
      <c r="A53" s="53" t="s">
        <v>130</v>
      </c>
      <c r="B53" s="51" t="s">
        <v>129</v>
      </c>
      <c r="C53" s="51" t="s">
        <v>128</v>
      </c>
      <c r="D53" s="52" t="s">
        <v>127</v>
      </c>
      <c r="E53" s="51" t="s">
        <v>126</v>
      </c>
      <c r="F53" s="50" t="s">
        <v>140</v>
      </c>
      <c r="H53" s="73" t="s">
        <v>148</v>
      </c>
      <c r="I53" s="72"/>
      <c r="J53" s="72"/>
      <c r="K53" s="72"/>
      <c r="L53" s="72"/>
      <c r="M53" s="71"/>
      <c r="O53" s="59" t="s">
        <v>139</v>
      </c>
      <c r="P53" s="64" t="s">
        <v>151</v>
      </c>
      <c r="Q53" s="64" t="s">
        <v>138</v>
      </c>
    </row>
    <row r="54" spans="1:20" ht="26.25" customHeight="1" thickBot="1" x14ac:dyDescent="0.4">
      <c r="A54" s="131" t="s">
        <v>124</v>
      </c>
      <c r="B54" s="132"/>
      <c r="C54" s="132"/>
      <c r="D54" s="132"/>
      <c r="E54" s="132"/>
      <c r="F54" s="133"/>
      <c r="H54" s="68"/>
      <c r="I54" s="9"/>
      <c r="J54" s="9"/>
      <c r="K54" s="66" t="s">
        <v>137</v>
      </c>
      <c r="L54" s="70"/>
      <c r="M54" s="61"/>
      <c r="O54" s="59" t="s">
        <v>136</v>
      </c>
      <c r="P54" s="64">
        <f>IF(AND(speed&gt;63,speed&lt;19),0,IF(AND(speed&lt;=19,mileage&lt;120000),$D$55*mileage+$E$55,IF(AND(speed&lt;=19,mileage&gt;=120000),$D$55*120000+$E$55,0)))</f>
        <v>0.28199999999999997</v>
      </c>
      <c r="Q54" s="64">
        <f>$D$55*120000+$E$55</f>
        <v>2.1995999999999998</v>
      </c>
    </row>
    <row r="55" spans="1:20" ht="26.25" customHeight="1" thickBot="1" x14ac:dyDescent="0.4">
      <c r="A55" s="69" t="s">
        <v>123</v>
      </c>
      <c r="B55" s="48" t="s">
        <v>118</v>
      </c>
      <c r="C55" s="48">
        <v>44931</v>
      </c>
      <c r="D55" s="49">
        <v>1.5979999999999999E-5</v>
      </c>
      <c r="E55" s="48">
        <v>0.28199999999999997</v>
      </c>
      <c r="F55" s="47">
        <v>2.2000000000000002</v>
      </c>
      <c r="H55" s="68"/>
      <c r="I55" s="67"/>
      <c r="J55" s="67"/>
      <c r="K55" s="66" t="s">
        <v>135</v>
      </c>
      <c r="L55" s="65"/>
      <c r="M55" s="61"/>
      <c r="O55" s="59" t="s">
        <v>134</v>
      </c>
      <c r="P55" s="64">
        <f>IF(AND(speed&gt;63,speed&lt;19),0,IF(AND(speed&gt;=63,mileage&lt;120000),$D$57*mileage+$E$57,IF(AND(speed&gt;=63,mileage&gt;=120000),$D$57*120000+$E$57,0)))</f>
        <v>0</v>
      </c>
      <c r="Q55" s="64">
        <f>$D$57*120000+$E$57</f>
        <v>1.8879999999999999</v>
      </c>
    </row>
    <row r="56" spans="1:20" ht="26.25" customHeight="1" thickBot="1" x14ac:dyDescent="0.4">
      <c r="A56" s="135" t="s">
        <v>120</v>
      </c>
      <c r="B56" s="132"/>
      <c r="C56" s="132"/>
      <c r="D56" s="132"/>
      <c r="E56" s="132"/>
      <c r="F56" s="133"/>
      <c r="H56" s="62"/>
      <c r="I56" s="130" t="s">
        <v>133</v>
      </c>
      <c r="J56" s="130"/>
      <c r="K56" s="130"/>
      <c r="L56" s="9"/>
      <c r="M56" s="61"/>
      <c r="O56" s="59" t="s">
        <v>110</v>
      </c>
      <c r="P56" s="59">
        <f>IF(AND(speed&gt;19, speed&lt;63),(D55*mileage+E55)+(speed-19)*((D57*mileage+E57)-(D55*mileage+E55))/44,0)</f>
        <v>0</v>
      </c>
      <c r="Q56" s="59">
        <f>Q54+(speed-19)*(Q55-Q54)/44</f>
        <v>2.3341545454545454</v>
      </c>
      <c r="T56" s="63"/>
    </row>
    <row r="57" spans="1:20" ht="26.25" customHeight="1" thickBot="1" x14ac:dyDescent="0.3">
      <c r="A57" s="136" t="s">
        <v>119</v>
      </c>
      <c r="B57" s="138" t="s">
        <v>118</v>
      </c>
      <c r="C57" s="138">
        <v>47186</v>
      </c>
      <c r="D57" s="148">
        <v>1.22E-5</v>
      </c>
      <c r="E57" s="138">
        <v>0.42399999999999999</v>
      </c>
      <c r="F57" s="140">
        <v>1.89</v>
      </c>
      <c r="H57" s="62"/>
      <c r="I57" s="130"/>
      <c r="J57" s="130"/>
      <c r="K57" s="130"/>
      <c r="L57" s="87" t="str">
        <f>IF(OR(ISBLANK(mileage),ISBLANK(speed)),"",IF(mileage&lt;120000,P57,Q57))</f>
        <v/>
      </c>
      <c r="M57" s="61"/>
      <c r="O57" s="60" t="s">
        <v>132</v>
      </c>
      <c r="P57" s="59">
        <f>SUM(P54:P56)</f>
        <v>0.28199999999999997</v>
      </c>
      <c r="Q57" s="59">
        <f>IF(speed&lt;=19,Q54,IF(speed&gt;=63,Q55,Q56))</f>
        <v>2.1995999999999998</v>
      </c>
    </row>
    <row r="58" spans="1:20" ht="15.75" thickBot="1" x14ac:dyDescent="0.3">
      <c r="A58" s="137"/>
      <c r="B58" s="139"/>
      <c r="C58" s="139"/>
      <c r="D58" s="149"/>
      <c r="E58" s="139"/>
      <c r="F58" s="141"/>
      <c r="H58" s="58"/>
      <c r="I58" s="57"/>
      <c r="J58" s="57"/>
      <c r="K58" s="56"/>
      <c r="L58" s="55"/>
      <c r="M58" s="54"/>
    </row>
    <row r="59" spans="1:20" ht="15.75" thickTop="1" x14ac:dyDescent="0.25"/>
    <row r="62" spans="1:20" x14ac:dyDescent="0.25">
      <c r="A62" s="7" t="s">
        <v>131</v>
      </c>
    </row>
    <row r="63" spans="1:20" ht="15.75" thickBot="1" x14ac:dyDescent="0.3"/>
    <row r="64" spans="1:20" ht="19.5" thickTop="1" thickBot="1" x14ac:dyDescent="0.4">
      <c r="A64" s="53" t="s">
        <v>130</v>
      </c>
      <c r="B64" s="51" t="s">
        <v>129</v>
      </c>
      <c r="C64" s="51" t="s">
        <v>128</v>
      </c>
      <c r="D64" s="52" t="s">
        <v>127</v>
      </c>
      <c r="E64" s="51" t="s">
        <v>126</v>
      </c>
      <c r="F64" s="50" t="s">
        <v>125</v>
      </c>
      <c r="H64" s="73" t="s">
        <v>149</v>
      </c>
      <c r="I64" s="72"/>
      <c r="J64" s="72"/>
      <c r="K64" s="72"/>
      <c r="L64" s="72"/>
      <c r="M64" s="71"/>
      <c r="O64" s="59" t="s">
        <v>139</v>
      </c>
      <c r="P64" s="64" t="s">
        <v>150</v>
      </c>
      <c r="Q64" s="64" t="s">
        <v>152</v>
      </c>
    </row>
    <row r="65" spans="1:17" ht="25.5" customHeight="1" thickBot="1" x14ac:dyDescent="0.4">
      <c r="A65" s="131" t="s">
        <v>124</v>
      </c>
      <c r="B65" s="132"/>
      <c r="C65" s="132"/>
      <c r="D65" s="132"/>
      <c r="E65" s="132"/>
      <c r="F65" s="133"/>
      <c r="H65" s="68"/>
      <c r="I65" s="9"/>
      <c r="J65" s="9"/>
      <c r="K65" s="66" t="s">
        <v>137</v>
      </c>
      <c r="L65" s="70"/>
      <c r="M65" s="61"/>
      <c r="O65" s="59" t="s">
        <v>136</v>
      </c>
      <c r="P65" s="64">
        <f>IF(AND(speed2&gt;63,speed2&lt;19),0,IF(AND(speed2&lt;=19,mileage2&lt;160000),$D$67*mileage2+$E$67,IF(AND(speed2&lt;=19,mileage2&gt;=160000),$D$67*160000+$E$67,0)))</f>
        <v>0.93200000000000005</v>
      </c>
      <c r="Q65" s="64">
        <f>$D$67*160000+$E$67</f>
        <v>1.56976</v>
      </c>
    </row>
    <row r="66" spans="1:17" ht="25.5" customHeight="1" thickBot="1" x14ac:dyDescent="0.3">
      <c r="A66" s="134" t="s">
        <v>123</v>
      </c>
      <c r="B66" s="48" t="s">
        <v>122</v>
      </c>
      <c r="C66" s="48">
        <v>31313</v>
      </c>
      <c r="D66" s="48">
        <v>0</v>
      </c>
      <c r="E66" s="48">
        <v>1</v>
      </c>
      <c r="F66" s="47">
        <v>1</v>
      </c>
      <c r="H66" s="68"/>
      <c r="I66" s="67"/>
      <c r="J66" s="67"/>
      <c r="K66" s="66" t="s">
        <v>135</v>
      </c>
      <c r="L66" s="65"/>
      <c r="M66" s="61"/>
      <c r="O66" s="59" t="s">
        <v>134</v>
      </c>
      <c r="P66" s="64">
        <f>IF(AND(speed2&gt;63,speed2&lt;19),0,IF(AND(speed2&gt;=63,mileage2&lt;160000),$D$69*mileage2+$E$69,IF(AND(speed2&gt;=63,mileage2&gt;=120000),$D$69*120000+$E$69,0)))</f>
        <v>0</v>
      </c>
      <c r="Q66" s="64">
        <f>$D$69*160000+$E$69</f>
        <v>1</v>
      </c>
    </row>
    <row r="67" spans="1:17" ht="25.5" customHeight="1" thickBot="1" x14ac:dyDescent="0.3">
      <c r="A67" s="134"/>
      <c r="B67" s="48" t="s">
        <v>121</v>
      </c>
      <c r="C67" s="48">
        <v>16993</v>
      </c>
      <c r="D67" s="49">
        <v>3.9859999999999996E-6</v>
      </c>
      <c r="E67" s="48">
        <v>0.93200000000000005</v>
      </c>
      <c r="F67" s="47">
        <v>1.57</v>
      </c>
      <c r="H67" s="62"/>
      <c r="I67" s="66"/>
      <c r="J67" s="66"/>
      <c r="K67" s="66" t="s">
        <v>154</v>
      </c>
      <c r="L67" s="88" t="s">
        <v>121</v>
      </c>
      <c r="M67" s="61"/>
      <c r="O67" s="59" t="s">
        <v>110</v>
      </c>
      <c r="P67" s="59">
        <f>IF(AND(speed2&gt;19, speed2&lt;63),(D67*mileage2+E67)+(speed2-19)*((D69*mileage2+E69)-(D67*mileage2+E67))/44,0)</f>
        <v>0</v>
      </c>
      <c r="Q67" s="64">
        <f>Q65+(speed2-19)*(Q66-Q65)/44</f>
        <v>1.8157927272727274</v>
      </c>
    </row>
    <row r="68" spans="1:17" ht="35.25" customHeight="1" thickBot="1" x14ac:dyDescent="0.4">
      <c r="A68" s="135" t="s">
        <v>120</v>
      </c>
      <c r="B68" s="132"/>
      <c r="C68" s="132"/>
      <c r="D68" s="132"/>
      <c r="E68" s="132"/>
      <c r="F68" s="133"/>
      <c r="H68" s="127" t="s">
        <v>153</v>
      </c>
      <c r="I68" s="128"/>
      <c r="J68" s="128"/>
      <c r="K68" s="129"/>
      <c r="L68" s="87" t="str">
        <f>IF(L67="&lt;=1.4",1,IF(OR(ISBLANK(mileage2),ISBLANK(speed2)),"",IF(mileage2&lt;160000,P68,Q68)))</f>
        <v/>
      </c>
      <c r="M68" s="61"/>
      <c r="O68" s="60" t="s">
        <v>132</v>
      </c>
      <c r="P68" s="59">
        <f>SUM(P65:P67)</f>
        <v>0.93200000000000005</v>
      </c>
      <c r="Q68" s="64">
        <f>IF(speed2&lt;=19,Q65,IF(speed2&gt;=63,Q66,Q67))</f>
        <v>1.56976</v>
      </c>
    </row>
    <row r="69" spans="1:17" ht="25.5" customHeight="1" thickBot="1" x14ac:dyDescent="0.4">
      <c r="A69" s="46" t="s">
        <v>119</v>
      </c>
      <c r="B69" s="45" t="s">
        <v>118</v>
      </c>
      <c r="C69" s="45">
        <v>26150</v>
      </c>
      <c r="D69" s="45">
        <v>0</v>
      </c>
      <c r="E69" s="45">
        <v>1</v>
      </c>
      <c r="F69" s="44">
        <v>1</v>
      </c>
      <c r="H69" s="58"/>
      <c r="I69" s="57"/>
      <c r="J69" s="57"/>
      <c r="K69" s="56"/>
      <c r="L69" s="55"/>
      <c r="M69" s="54"/>
    </row>
    <row r="70" spans="1:17" ht="18.75" customHeight="1" thickTop="1" x14ac:dyDescent="0.25"/>
    <row r="72" spans="1:17" x14ac:dyDescent="0.25">
      <c r="A72" s="7" t="s">
        <v>117</v>
      </c>
    </row>
    <row r="73" spans="1:17" ht="15.75" thickBot="1" x14ac:dyDescent="0.3"/>
    <row r="74" spans="1:17" ht="18.75" thickTop="1" x14ac:dyDescent="0.35">
      <c r="A74" s="43" t="s">
        <v>116</v>
      </c>
      <c r="B74" s="142" t="s">
        <v>115</v>
      </c>
      <c r="C74" s="143"/>
    </row>
    <row r="75" spans="1:17" ht="18" x14ac:dyDescent="0.35">
      <c r="A75" s="42" t="s">
        <v>114</v>
      </c>
      <c r="B75" s="144" t="s">
        <v>113</v>
      </c>
      <c r="C75" s="145"/>
    </row>
    <row r="76" spans="1:17" ht="18" x14ac:dyDescent="0.35">
      <c r="A76" s="42" t="s">
        <v>112</v>
      </c>
      <c r="B76" s="144" t="s">
        <v>111</v>
      </c>
      <c r="C76" s="145"/>
    </row>
    <row r="77" spans="1:17" ht="18.75" thickBot="1" x14ac:dyDescent="0.4">
      <c r="A77" s="41" t="s">
        <v>110</v>
      </c>
      <c r="B77" s="146" t="s">
        <v>109</v>
      </c>
      <c r="C77" s="147"/>
    </row>
    <row r="78" spans="1:17" ht="15.75" thickTop="1" x14ac:dyDescent="0.25"/>
  </sheetData>
  <mergeCells count="18">
    <mergeCell ref="B74:C74"/>
    <mergeCell ref="B75:C75"/>
    <mergeCell ref="B76:C76"/>
    <mergeCell ref="B77:C77"/>
    <mergeCell ref="E57:E58"/>
    <mergeCell ref="D57:D58"/>
    <mergeCell ref="A68:F68"/>
    <mergeCell ref="H68:K68"/>
    <mergeCell ref="I56:K57"/>
    <mergeCell ref="A65:F65"/>
    <mergeCell ref="A66:A67"/>
    <mergeCell ref="A1:K2"/>
    <mergeCell ref="A54:F54"/>
    <mergeCell ref="A56:F56"/>
    <mergeCell ref="A57:A58"/>
    <mergeCell ref="B57:B58"/>
    <mergeCell ref="C57:C58"/>
    <mergeCell ref="F57:F58"/>
  </mergeCells>
  <dataValidations count="1">
    <dataValidation type="list" allowBlank="1" showInputMessage="1" showErrorMessage="1" sqref="L67">
      <formula1>$B$66:$B$67</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QA</vt:lpstr>
      <vt:lpstr>Notes</vt:lpstr>
      <vt:lpstr>Cars</vt:lpstr>
      <vt:lpstr>LGVs</vt:lpstr>
      <vt:lpstr>HGVs &amp; Buses</vt:lpstr>
      <vt:lpstr>Motorcycles</vt:lpstr>
      <vt:lpstr>Emis Degradation</vt:lpstr>
      <vt:lpstr>alpha</vt:lpstr>
      <vt:lpstr>beta</vt:lpstr>
      <vt:lpstr>ceta</vt:lpstr>
      <vt:lpstr>delta</vt:lpstr>
      <vt:lpstr>epsilon</vt:lpstr>
      <vt:lpstr>'Emis Degradation'!mileage</vt:lpstr>
      <vt:lpstr>mileage2</vt:lpstr>
      <vt:lpstr>'Emis Degradation'!speed</vt:lpstr>
      <vt:lpstr>speed</vt:lpstr>
      <vt:lpstr>speed2</vt:lpstr>
    </vt:vector>
  </TitlesOfParts>
  <Company>AEA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Yvonne_Pang</dc:creator>
  <cp:lastModifiedBy>Yvonne Pang</cp:lastModifiedBy>
  <dcterms:created xsi:type="dcterms:W3CDTF">2012-01-11T15:08:32Z</dcterms:created>
  <dcterms:modified xsi:type="dcterms:W3CDTF">2012-07-09T13:07:29Z</dcterms:modified>
</cp:coreProperties>
</file>